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1060" windowHeight="9495"/>
  </bookViews>
  <sheets>
    <sheet name="KSMGDef" sheetId="1" r:id="rId1"/>
    <sheet name="OtherMG" sheetId="3" r:id="rId2"/>
    <sheet name="Commerce" sheetId="2" r:id="rId3"/>
  </sheets>
  <definedNames>
    <definedName name="_xlnm._FilterDatabase" localSheetId="0" hidden="1">KSMGDef!$A$2:$I$186</definedName>
    <definedName name="_xlnm.Print_Area" localSheetId="0">KSMGDef!$A$1:$J$189</definedName>
  </definedNames>
  <calcPr calcId="145621"/>
</workbook>
</file>

<file path=xl/calcChain.xml><?xml version="1.0" encoding="utf-8"?>
<calcChain xmlns="http://schemas.openxmlformats.org/spreadsheetml/2006/main">
  <c r="C851" i="3" l="1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C641" i="3"/>
  <c r="C640" i="3"/>
  <c r="C639" i="3"/>
  <c r="C638" i="3"/>
  <c r="C637" i="3"/>
  <c r="C636" i="3"/>
  <c r="C635" i="3"/>
  <c r="C634" i="3"/>
  <c r="C633" i="3"/>
  <c r="C632" i="3"/>
  <c r="C631" i="3"/>
  <c r="C630" i="3"/>
  <c r="C629" i="3"/>
  <c r="C628" i="3"/>
  <c r="C627" i="3"/>
  <c r="C626" i="3"/>
  <c r="C625" i="3"/>
  <c r="C624" i="3"/>
  <c r="C623" i="3"/>
  <c r="C622" i="3"/>
  <c r="C621" i="3"/>
  <c r="C620" i="3"/>
  <c r="C619" i="3"/>
  <c r="C618" i="3"/>
  <c r="C617" i="3"/>
  <c r="C616" i="3"/>
  <c r="C615" i="3"/>
  <c r="C614" i="3"/>
  <c r="C613" i="3"/>
  <c r="C612" i="3"/>
  <c r="C611" i="3"/>
  <c r="C610" i="3"/>
  <c r="C609" i="3"/>
  <c r="C608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3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9" i="3"/>
  <c r="C578" i="3"/>
  <c r="C577" i="3"/>
  <c r="C576" i="3"/>
  <c r="C575" i="3"/>
  <c r="C574" i="3"/>
  <c r="C573" i="3"/>
  <c r="C572" i="3"/>
  <c r="C571" i="3"/>
  <c r="C570" i="3"/>
  <c r="C569" i="3"/>
  <c r="C568" i="3"/>
  <c r="C567" i="3"/>
  <c r="C566" i="3"/>
  <c r="C565" i="3"/>
  <c r="C564" i="3"/>
  <c r="C563" i="3"/>
  <c r="C562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4" i="3"/>
  <c r="C543" i="3"/>
  <c r="C542" i="3"/>
  <c r="C541" i="3"/>
  <c r="C540" i="3"/>
  <c r="C539" i="3"/>
  <c r="C538" i="3"/>
  <c r="C537" i="3"/>
  <c r="C536" i="3"/>
  <c r="C535" i="3"/>
  <c r="C534" i="3"/>
  <c r="C533" i="3"/>
  <c r="C532" i="3"/>
  <c r="C531" i="3"/>
  <c r="C530" i="3"/>
  <c r="C529" i="3"/>
  <c r="C528" i="3"/>
  <c r="C527" i="3"/>
  <c r="C526" i="3"/>
  <c r="C525" i="3"/>
  <c r="C524" i="3"/>
  <c r="C523" i="3"/>
  <c r="C522" i="3"/>
  <c r="C521" i="3"/>
  <c r="C520" i="3"/>
  <c r="C519" i="3"/>
  <c r="C518" i="3"/>
  <c r="C517" i="3"/>
  <c r="C516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3" i="3"/>
  <c r="C502" i="3"/>
  <c r="C501" i="3"/>
  <c r="C500" i="3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1" i="3"/>
  <c r="C13" i="2"/>
  <c r="C8" i="2"/>
  <c r="C9" i="2"/>
  <c r="C11" i="2"/>
  <c r="C10" i="2"/>
  <c r="C3" i="2"/>
  <c r="C17" i="2"/>
  <c r="C14" i="2"/>
  <c r="C2" i="2"/>
  <c r="C22" i="2"/>
  <c r="C12" i="2"/>
  <c r="C15" i="2"/>
  <c r="C19" i="2"/>
  <c r="C30" i="2"/>
  <c r="C21" i="2"/>
  <c r="C27" i="2"/>
  <c r="C25" i="2"/>
  <c r="C24" i="2"/>
  <c r="C16" i="2"/>
  <c r="C4" i="2"/>
  <c r="C26" i="2"/>
  <c r="C29" i="2"/>
  <c r="C32" i="2"/>
  <c r="C23" i="2"/>
  <c r="C18" i="2"/>
  <c r="C41" i="2"/>
  <c r="C6" i="2"/>
  <c r="C55" i="2"/>
  <c r="C45" i="2"/>
  <c r="C44" i="2"/>
  <c r="C49" i="2"/>
  <c r="C50" i="2"/>
  <c r="C51" i="2"/>
  <c r="C47" i="2"/>
  <c r="C34" i="2"/>
  <c r="C107" i="2"/>
  <c r="C65" i="2"/>
  <c r="C111" i="2"/>
  <c r="C71" i="2"/>
  <c r="C42" i="2"/>
  <c r="C59" i="2"/>
  <c r="C36" i="2"/>
  <c r="C37" i="2"/>
  <c r="C132" i="2"/>
  <c r="C113" i="2"/>
  <c r="C84" i="2"/>
  <c r="C74" i="2"/>
  <c r="C72" i="2"/>
  <c r="C61" i="2"/>
  <c r="C78" i="2"/>
  <c r="C79" i="2"/>
  <c r="C80" i="2"/>
  <c r="C75" i="2"/>
  <c r="C76" i="2"/>
  <c r="C77" i="2"/>
  <c r="C864" i="2"/>
  <c r="C880" i="2"/>
  <c r="C881" i="2"/>
  <c r="C167" i="2"/>
  <c r="C218" i="2"/>
  <c r="C900" i="2"/>
  <c r="C901" i="2"/>
  <c r="C902" i="2"/>
  <c r="C186" i="2"/>
  <c r="C187" i="2"/>
  <c r="C188" i="2"/>
  <c r="C189" i="2"/>
  <c r="C86" i="2"/>
  <c r="C85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220" i="2"/>
  <c r="C221" i="2"/>
  <c r="C903" i="2"/>
  <c r="C222" i="2"/>
  <c r="C223" i="2"/>
  <c r="C904" i="2"/>
  <c r="C219" i="2"/>
  <c r="C224" i="2"/>
  <c r="C158" i="2"/>
  <c r="C94" i="2"/>
  <c r="C87" i="2"/>
  <c r="C88" i="2"/>
  <c r="C89" i="2"/>
  <c r="C90" i="2"/>
  <c r="C35" i="2"/>
  <c r="C358" i="2"/>
  <c r="C359" i="2"/>
  <c r="C108" i="2"/>
  <c r="C109" i="2"/>
  <c r="C95" i="2"/>
  <c r="C360" i="2"/>
  <c r="C361" i="2"/>
  <c r="C225" i="2"/>
  <c r="C362" i="2"/>
  <c r="C162" i="2"/>
  <c r="C161" i="2"/>
  <c r="C168" i="2"/>
  <c r="C363" i="2"/>
  <c r="C364" i="2"/>
  <c r="C365" i="2"/>
  <c r="C366" i="2"/>
  <c r="C169" i="2"/>
  <c r="C367" i="2"/>
  <c r="C368" i="2"/>
  <c r="C369" i="2"/>
  <c r="C370" i="2"/>
  <c r="C371" i="2"/>
  <c r="C905" i="2"/>
  <c r="C906" i="2"/>
  <c r="C227" i="2"/>
  <c r="C226" i="2"/>
  <c r="C228" i="2"/>
  <c r="C229" i="2"/>
  <c r="C230" i="2"/>
  <c r="C231" i="2"/>
  <c r="C232" i="2"/>
  <c r="C882" i="2"/>
  <c r="C883" i="2"/>
  <c r="C884" i="2"/>
  <c r="C133" i="2"/>
  <c r="C104" i="2"/>
  <c r="C53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235" i="2"/>
  <c r="C236" i="2"/>
  <c r="C237" i="2"/>
  <c r="C907" i="2"/>
  <c r="C233" i="2"/>
  <c r="C238" i="2"/>
  <c r="C239" i="2"/>
  <c r="C234" i="2"/>
  <c r="C395" i="2"/>
  <c r="C396" i="2"/>
  <c r="C397" i="2"/>
  <c r="C398" i="2"/>
  <c r="C399" i="2"/>
  <c r="C52" i="2"/>
  <c r="C163" i="2"/>
  <c r="C400" i="2"/>
  <c r="C190" i="2"/>
  <c r="C401" i="2"/>
  <c r="C402" i="2"/>
  <c r="C170" i="2"/>
  <c r="C403" i="2"/>
  <c r="C404" i="2"/>
  <c r="C191" i="2"/>
  <c r="C134" i="2"/>
  <c r="C405" i="2"/>
  <c r="C406" i="2"/>
  <c r="C407" i="2"/>
  <c r="C240" i="2"/>
  <c r="C241" i="2"/>
  <c r="C192" i="2"/>
  <c r="C135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242" i="2"/>
  <c r="C243" i="2"/>
  <c r="C244" i="2"/>
  <c r="C422" i="2"/>
  <c r="C423" i="2"/>
  <c r="C424" i="2"/>
  <c r="C425" i="2"/>
  <c r="C426" i="2"/>
  <c r="C427" i="2"/>
  <c r="C428" i="2"/>
  <c r="C429" i="2"/>
  <c r="C430" i="2"/>
  <c r="C431" i="2"/>
  <c r="C112" i="2"/>
  <c r="C432" i="2"/>
  <c r="C433" i="2"/>
  <c r="C434" i="2"/>
  <c r="C171" i="2"/>
  <c r="C435" i="2"/>
  <c r="C436" i="2"/>
  <c r="C908" i="2"/>
  <c r="C245" i="2"/>
  <c r="C246" i="2"/>
  <c r="C247" i="2"/>
  <c r="C855" i="2"/>
  <c r="C150" i="2"/>
  <c r="C151" i="2"/>
  <c r="C152" i="2"/>
  <c r="C121" i="2"/>
  <c r="C437" i="2"/>
  <c r="C438" i="2"/>
  <c r="C439" i="2"/>
  <c r="C440" i="2"/>
  <c r="C441" i="2"/>
  <c r="C442" i="2"/>
  <c r="C443" i="2"/>
  <c r="C444" i="2"/>
  <c r="C445" i="2"/>
  <c r="C248" i="2"/>
  <c r="C858" i="2"/>
  <c r="C446" i="2"/>
  <c r="C447" i="2"/>
  <c r="C448" i="2"/>
  <c r="C449" i="2"/>
  <c r="C193" i="2"/>
  <c r="C450" i="2"/>
  <c r="C451" i="2"/>
  <c r="C452" i="2"/>
  <c r="C453" i="2"/>
  <c r="C454" i="2"/>
  <c r="C455" i="2"/>
  <c r="C249" i="2"/>
  <c r="C172" i="2"/>
  <c r="C456" i="2"/>
  <c r="C457" i="2"/>
  <c r="C458" i="2"/>
  <c r="C459" i="2"/>
  <c r="C460" i="2"/>
  <c r="C461" i="2"/>
  <c r="C462" i="2"/>
  <c r="C463" i="2"/>
  <c r="C464" i="2"/>
  <c r="C465" i="2"/>
  <c r="C250" i="2"/>
  <c r="C251" i="2"/>
  <c r="C252" i="2"/>
  <c r="C173" i="2"/>
  <c r="C136" i="2"/>
  <c r="C122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254" i="2"/>
  <c r="C253" i="2"/>
  <c r="C480" i="2"/>
  <c r="C481" i="2"/>
  <c r="C482" i="2"/>
  <c r="C483" i="2"/>
  <c r="C484" i="2"/>
  <c r="C69" i="2"/>
  <c r="C70" i="2"/>
  <c r="C54" i="2"/>
  <c r="C174" i="2"/>
  <c r="C856" i="2"/>
  <c r="C46" i="2"/>
  <c r="C255" i="2"/>
  <c r="C194" i="2"/>
  <c r="C859" i="2"/>
  <c r="C137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256" i="2"/>
  <c r="C257" i="2"/>
  <c r="C258" i="2"/>
  <c r="C259" i="2"/>
  <c r="C863" i="2"/>
  <c r="C123" i="2"/>
  <c r="C105" i="2"/>
  <c r="C56" i="2"/>
  <c r="C498" i="2"/>
  <c r="C499" i="2"/>
  <c r="C500" i="2"/>
  <c r="C501" i="2"/>
  <c r="C502" i="2"/>
  <c r="C503" i="2"/>
  <c r="C504" i="2"/>
  <c r="C505" i="2"/>
  <c r="C506" i="2"/>
  <c r="C507" i="2"/>
  <c r="C508" i="2"/>
  <c r="C195" i="2"/>
  <c r="C509" i="2"/>
  <c r="C510" i="2"/>
  <c r="C511" i="2"/>
  <c r="C512" i="2"/>
  <c r="C513" i="2"/>
  <c r="C514" i="2"/>
  <c r="C515" i="2"/>
  <c r="C516" i="2"/>
  <c r="C260" i="2"/>
  <c r="C261" i="2"/>
  <c r="C262" i="2"/>
  <c r="C263" i="2"/>
  <c r="C196" i="2"/>
  <c r="C138" i="2"/>
  <c r="C517" i="2"/>
  <c r="C518" i="2"/>
  <c r="C519" i="2"/>
  <c r="C520" i="2"/>
  <c r="C521" i="2"/>
  <c r="C522" i="2"/>
  <c r="C523" i="2"/>
  <c r="C524" i="2"/>
  <c r="C525" i="2"/>
  <c r="C139" i="2"/>
  <c r="C526" i="2"/>
  <c r="C527" i="2"/>
  <c r="C528" i="2"/>
  <c r="C529" i="2"/>
  <c r="C530" i="2"/>
  <c r="C67" i="2"/>
  <c r="C175" i="2"/>
  <c r="C531" i="2"/>
  <c r="C264" i="2"/>
  <c r="C197" i="2"/>
  <c r="C62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265" i="2"/>
  <c r="C66" i="2"/>
  <c r="C544" i="2"/>
  <c r="C545" i="2"/>
  <c r="C546" i="2"/>
  <c r="C547" i="2"/>
  <c r="C548" i="2"/>
  <c r="C68" i="2"/>
  <c r="C549" i="2"/>
  <c r="C550" i="2"/>
  <c r="C73" i="2"/>
  <c r="C551" i="2"/>
  <c r="C552" i="2"/>
  <c r="C553" i="2"/>
  <c r="C554" i="2"/>
  <c r="C909" i="2"/>
  <c r="C266" i="2"/>
  <c r="C153" i="2"/>
  <c r="C100" i="2"/>
  <c r="C96" i="2"/>
  <c r="C60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82" i="2"/>
  <c r="C81" i="2"/>
  <c r="C572" i="2"/>
  <c r="C573" i="2"/>
  <c r="C97" i="2"/>
  <c r="C574" i="2"/>
  <c r="C575" i="2"/>
  <c r="C176" i="2"/>
  <c r="C177" i="2"/>
  <c r="C576" i="2"/>
  <c r="C577" i="2"/>
  <c r="C578" i="2"/>
  <c r="C579" i="2"/>
  <c r="C580" i="2"/>
  <c r="C581" i="2"/>
  <c r="C582" i="2"/>
  <c r="C198" i="2"/>
  <c r="C178" i="2"/>
  <c r="C91" i="2"/>
  <c r="C92" i="2"/>
  <c r="C583" i="2"/>
  <c r="C584" i="2"/>
  <c r="C585" i="2"/>
  <c r="C586" i="2"/>
  <c r="C267" i="2"/>
  <c r="C268" i="2"/>
  <c r="C269" i="2"/>
  <c r="C270" i="2"/>
  <c r="C885" i="2"/>
  <c r="C199" i="2"/>
  <c r="C200" i="2"/>
  <c r="C179" i="2"/>
  <c r="C140" i="2"/>
  <c r="C114" i="2"/>
  <c r="C115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910" i="2"/>
  <c r="C271" i="2"/>
  <c r="C272" i="2"/>
  <c r="C273" i="2"/>
  <c r="C274" i="2"/>
  <c r="C275" i="2"/>
  <c r="C129" i="2"/>
  <c r="C124" i="2"/>
  <c r="C63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131" i="2"/>
  <c r="C636" i="2"/>
  <c r="C637" i="2"/>
  <c r="C638" i="2"/>
  <c r="C639" i="2"/>
  <c r="C640" i="2"/>
  <c r="C641" i="2"/>
  <c r="C642" i="2"/>
  <c r="C276" i="2"/>
  <c r="C277" i="2"/>
  <c r="C201" i="2"/>
  <c r="C202" i="2"/>
  <c r="C141" i="2"/>
  <c r="C142" i="2"/>
  <c r="C643" i="2"/>
  <c r="C644" i="2"/>
  <c r="C645" i="2"/>
  <c r="C646" i="2"/>
  <c r="C647" i="2"/>
  <c r="C648" i="2"/>
  <c r="C649" i="2"/>
  <c r="C650" i="2"/>
  <c r="C651" i="2"/>
  <c r="C652" i="2"/>
  <c r="C653" i="2"/>
  <c r="C278" i="2"/>
  <c r="C654" i="2"/>
  <c r="C655" i="2"/>
  <c r="C656" i="2"/>
  <c r="C57" i="2"/>
  <c r="C657" i="2"/>
  <c r="C658" i="2"/>
  <c r="C659" i="2"/>
  <c r="C660" i="2"/>
  <c r="C154" i="2"/>
  <c r="C279" i="2"/>
  <c r="C280" i="2"/>
  <c r="C5" i="2"/>
  <c r="C281" i="2"/>
  <c r="C661" i="2"/>
  <c r="C662" i="2"/>
  <c r="C663" i="2"/>
  <c r="C664" i="2"/>
  <c r="C282" i="2"/>
  <c r="C665" i="2"/>
  <c r="C666" i="2"/>
  <c r="C667" i="2"/>
  <c r="C668" i="2"/>
  <c r="C283" i="2"/>
  <c r="C284" i="2"/>
  <c r="C285" i="2"/>
  <c r="C669" i="2"/>
  <c r="C670" i="2"/>
  <c r="C203" i="2"/>
  <c r="C106" i="2"/>
  <c r="C671" i="2"/>
  <c r="C672" i="2"/>
  <c r="C673" i="2"/>
  <c r="C674" i="2"/>
  <c r="C675" i="2"/>
  <c r="C676" i="2"/>
  <c r="C180" i="2"/>
  <c r="C677" i="2"/>
  <c r="C678" i="2"/>
  <c r="C286" i="2"/>
  <c r="C287" i="2"/>
  <c r="C143" i="2"/>
  <c r="C679" i="2"/>
  <c r="C680" i="2"/>
  <c r="C681" i="2"/>
  <c r="C288" i="2"/>
  <c r="C110" i="2"/>
  <c r="C682" i="2"/>
  <c r="C683" i="2"/>
  <c r="C684" i="2"/>
  <c r="C685" i="2"/>
  <c r="C686" i="2"/>
  <c r="C101" i="2"/>
  <c r="C687" i="2"/>
  <c r="C688" i="2"/>
  <c r="C289" i="2"/>
  <c r="C290" i="2"/>
  <c r="C204" i="2"/>
  <c r="C689" i="2"/>
  <c r="C690" i="2"/>
  <c r="C691" i="2"/>
  <c r="C692" i="2"/>
  <c r="C291" i="2"/>
  <c r="C43" i="2"/>
  <c r="C693" i="2"/>
  <c r="C694" i="2"/>
  <c r="C292" i="2"/>
  <c r="C205" i="2"/>
  <c r="C144" i="2"/>
  <c r="C695" i="2"/>
  <c r="C696" i="2"/>
  <c r="C697" i="2"/>
  <c r="C293" i="2"/>
  <c r="C698" i="2"/>
  <c r="C699" i="2"/>
  <c r="C700" i="2"/>
  <c r="C701" i="2"/>
  <c r="C702" i="2"/>
  <c r="C181" i="2"/>
  <c r="C911" i="2"/>
  <c r="C294" i="2"/>
  <c r="C295" i="2"/>
  <c r="C206" i="2"/>
  <c r="C703" i="2"/>
  <c r="C704" i="2"/>
  <c r="C873" i="2"/>
  <c r="C705" i="2"/>
  <c r="C706" i="2"/>
  <c r="C707" i="2"/>
  <c r="C708" i="2"/>
  <c r="C296" i="2"/>
  <c r="C297" i="2"/>
  <c r="C298" i="2"/>
  <c r="C299" i="2"/>
  <c r="C145" i="2"/>
  <c r="C146" i="2"/>
  <c r="C125" i="2"/>
  <c r="C300" i="2"/>
  <c r="C709" i="2"/>
  <c r="C710" i="2"/>
  <c r="C711" i="2"/>
  <c r="C712" i="2"/>
  <c r="C713" i="2"/>
  <c r="C301" i="2"/>
  <c r="C98" i="2"/>
  <c r="C714" i="2"/>
  <c r="C302" i="2"/>
  <c r="C182" i="2"/>
  <c r="C183" i="2"/>
  <c r="C715" i="2"/>
  <c r="C716" i="2"/>
  <c r="C717" i="2"/>
  <c r="C718" i="2"/>
  <c r="C719" i="2"/>
  <c r="C720" i="2"/>
  <c r="C58" i="2"/>
  <c r="C721" i="2"/>
  <c r="C722" i="2"/>
  <c r="C723" i="2"/>
  <c r="C303" i="2"/>
  <c r="C724" i="2"/>
  <c r="C725" i="2"/>
  <c r="C726" i="2"/>
  <c r="C727" i="2"/>
  <c r="C728" i="2"/>
  <c r="C729" i="2"/>
  <c r="C730" i="2"/>
  <c r="C731" i="2"/>
  <c r="C164" i="2"/>
  <c r="C102" i="2"/>
  <c r="C732" i="2"/>
  <c r="C733" i="2"/>
  <c r="C734" i="2"/>
  <c r="C735" i="2"/>
  <c r="C736" i="2"/>
  <c r="C737" i="2"/>
  <c r="C738" i="2"/>
  <c r="C739" i="2"/>
  <c r="C860" i="2"/>
  <c r="C740" i="2"/>
  <c r="C304" i="2"/>
  <c r="C147" i="2"/>
  <c r="C116" i="2"/>
  <c r="C117" i="2"/>
  <c r="C48" i="2"/>
  <c r="C165" i="2"/>
  <c r="C207" i="2"/>
  <c r="C741" i="2"/>
  <c r="C208" i="2"/>
  <c r="C209" i="2"/>
  <c r="C118" i="2"/>
  <c r="C742" i="2"/>
  <c r="C743" i="2"/>
  <c r="C744" i="2"/>
  <c r="C745" i="2"/>
  <c r="C746" i="2"/>
  <c r="C184" i="2"/>
  <c r="C747" i="2"/>
  <c r="C126" i="2"/>
  <c r="C127" i="2"/>
  <c r="C748" i="2"/>
  <c r="C749" i="2"/>
  <c r="C750" i="2"/>
  <c r="C305" i="2"/>
  <c r="C20" i="2"/>
  <c r="C751" i="2"/>
  <c r="C912" i="2"/>
  <c r="C752" i="2"/>
  <c r="C753" i="2"/>
  <c r="C754" i="2"/>
  <c r="C306" i="2"/>
  <c r="C307" i="2"/>
  <c r="C210" i="2"/>
  <c r="C148" i="2"/>
  <c r="C103" i="2"/>
  <c r="C755" i="2"/>
  <c r="C756" i="2"/>
  <c r="C757" i="2"/>
  <c r="C758" i="2"/>
  <c r="C759" i="2"/>
  <c r="C760" i="2"/>
  <c r="C761" i="2"/>
  <c r="C762" i="2"/>
  <c r="C763" i="2"/>
  <c r="C764" i="2"/>
  <c r="C28" i="2"/>
  <c r="C765" i="2"/>
  <c r="C766" i="2"/>
  <c r="C309" i="2"/>
  <c r="C308" i="2"/>
  <c r="C310" i="2"/>
  <c r="C211" i="2"/>
  <c r="C119" i="2"/>
  <c r="C767" i="2"/>
  <c r="C768" i="2"/>
  <c r="C769" i="2"/>
  <c r="C770" i="2"/>
  <c r="C771" i="2"/>
  <c r="C772" i="2"/>
  <c r="C773" i="2"/>
  <c r="C886" i="2"/>
  <c r="C774" i="2"/>
  <c r="C775" i="2"/>
  <c r="C776" i="2"/>
  <c r="C312" i="2"/>
  <c r="C311" i="2"/>
  <c r="C777" i="2"/>
  <c r="C778" i="2"/>
  <c r="C779" i="2"/>
  <c r="C780" i="2"/>
  <c r="C781" i="2"/>
  <c r="C212" i="2"/>
  <c r="C887" i="2"/>
  <c r="C782" i="2"/>
  <c r="C783" i="2"/>
  <c r="C213" i="2"/>
  <c r="C38" i="2"/>
  <c r="C33" i="2"/>
  <c r="C888" i="2"/>
  <c r="C784" i="2"/>
  <c r="C313" i="2"/>
  <c r="C889" i="2"/>
  <c r="C785" i="2"/>
  <c r="C786" i="2"/>
  <c r="C787" i="2"/>
  <c r="C788" i="2"/>
  <c r="C789" i="2"/>
  <c r="C790" i="2"/>
  <c r="C39" i="2"/>
  <c r="C83" i="2"/>
  <c r="C185" i="2"/>
  <c r="C865" i="2"/>
  <c r="C791" i="2"/>
  <c r="C792" i="2"/>
  <c r="C890" i="2"/>
  <c r="C891" i="2"/>
  <c r="C120" i="2"/>
  <c r="C793" i="2"/>
  <c r="C794" i="2"/>
  <c r="C795" i="2"/>
  <c r="C796" i="2"/>
  <c r="C797" i="2"/>
  <c r="C314" i="2"/>
  <c r="C798" i="2"/>
  <c r="C799" i="2"/>
  <c r="C800" i="2"/>
  <c r="C315" i="2"/>
  <c r="C913" i="2"/>
  <c r="C914" i="2"/>
  <c r="C801" i="2"/>
  <c r="C802" i="2"/>
  <c r="C915" i="2"/>
  <c r="C40" i="2"/>
  <c r="C892" i="2"/>
  <c r="C803" i="2"/>
  <c r="C874" i="2"/>
  <c r="C917" i="2"/>
  <c r="C916" i="2"/>
  <c r="C155" i="2"/>
  <c r="C804" i="2"/>
  <c r="C805" i="2"/>
  <c r="C316" i="2"/>
  <c r="C806" i="2"/>
  <c r="C317" i="2"/>
  <c r="C807" i="2"/>
  <c r="C867" i="2"/>
  <c r="C318" i="2"/>
  <c r="C93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319" i="2"/>
  <c r="C214" i="2"/>
  <c r="C893" i="2"/>
  <c r="C894" i="2"/>
  <c r="C823" i="2"/>
  <c r="C320" i="2"/>
  <c r="C918" i="2"/>
  <c r="C99" i="2"/>
  <c r="C824" i="2"/>
  <c r="C825" i="2"/>
  <c r="C861" i="2"/>
  <c r="C857" i="2"/>
  <c r="C826" i="2"/>
  <c r="C875" i="2"/>
  <c r="C895" i="2"/>
  <c r="C827" i="2"/>
  <c r="C156" i="2"/>
  <c r="C828" i="2"/>
  <c r="C829" i="2"/>
  <c r="C322" i="2"/>
  <c r="C321" i="2"/>
  <c r="C896" i="2"/>
  <c r="C897" i="2"/>
  <c r="C876" i="2"/>
  <c r="C898" i="2"/>
  <c r="C868" i="2"/>
  <c r="C323" i="2"/>
  <c r="C853" i="2"/>
  <c r="C128" i="2"/>
  <c r="C830" i="2"/>
  <c r="C831" i="2"/>
  <c r="C832" i="2"/>
  <c r="C862" i="2"/>
  <c r="C869" i="2"/>
  <c r="C159" i="2"/>
  <c r="C160" i="2"/>
  <c r="C324" i="2"/>
  <c r="C877" i="2"/>
  <c r="C833" i="2"/>
  <c r="C834" i="2"/>
  <c r="C325" i="2"/>
  <c r="C166" i="2"/>
  <c r="C64" i="2"/>
  <c r="C870" i="2"/>
  <c r="C871" i="2"/>
  <c r="C149" i="2"/>
  <c r="C866" i="2"/>
  <c r="C157" i="2"/>
  <c r="C326" i="2"/>
  <c r="C327" i="2"/>
  <c r="C835" i="2"/>
  <c r="C836" i="2"/>
  <c r="C919" i="2"/>
  <c r="C837" i="2"/>
  <c r="C838" i="2"/>
  <c r="C839" i="2"/>
  <c r="C899" i="2"/>
  <c r="C878" i="2"/>
  <c r="C840" i="2"/>
  <c r="C841" i="2"/>
  <c r="C215" i="2"/>
  <c r="C879" i="2"/>
  <c r="C842" i="2"/>
  <c r="C920" i="2"/>
  <c r="C328" i="2"/>
  <c r="C843" i="2"/>
  <c r="C921" i="2"/>
  <c r="C923" i="2"/>
  <c r="C922" i="2"/>
  <c r="C854" i="2"/>
  <c r="C130" i="2"/>
  <c r="C844" i="2"/>
  <c r="C845" i="2"/>
  <c r="C329" i="2"/>
  <c r="C31" i="2"/>
  <c r="C846" i="2"/>
  <c r="C847" i="2"/>
  <c r="C872" i="2"/>
  <c r="C216" i="2"/>
  <c r="C848" i="2"/>
  <c r="C849" i="2"/>
  <c r="C330" i="2"/>
  <c r="C924" i="2"/>
  <c r="C217" i="2"/>
  <c r="C850" i="2"/>
  <c r="C925" i="2"/>
  <c r="C331" i="2"/>
  <c r="C926" i="2"/>
  <c r="C851" i="2"/>
  <c r="C852" i="2"/>
  <c r="C7" i="2"/>
  <c r="S852" i="2"/>
  <c r="S851" i="2"/>
  <c r="S926" i="2"/>
  <c r="S331" i="2"/>
  <c r="S925" i="2"/>
  <c r="S850" i="2"/>
  <c r="S217" i="2"/>
  <c r="S924" i="2"/>
  <c r="S330" i="2"/>
  <c r="S849" i="2"/>
  <c r="S848" i="2"/>
  <c r="S216" i="2"/>
  <c r="S872" i="2"/>
  <c r="S847" i="2"/>
  <c r="S846" i="2"/>
  <c r="S31" i="2"/>
  <c r="S329" i="2"/>
  <c r="S845" i="2"/>
  <c r="S844" i="2"/>
  <c r="S130" i="2"/>
  <c r="S854" i="2"/>
  <c r="S922" i="2"/>
  <c r="S923" i="2"/>
  <c r="S921" i="2"/>
  <c r="S843" i="2"/>
  <c r="S328" i="2"/>
  <c r="S920" i="2"/>
  <c r="S842" i="2"/>
  <c r="S879" i="2"/>
  <c r="S215" i="2"/>
  <c r="S841" i="2"/>
  <c r="S840" i="2"/>
  <c r="S878" i="2"/>
  <c r="S899" i="2"/>
  <c r="S839" i="2"/>
  <c r="S838" i="2"/>
  <c r="S837" i="2"/>
  <c r="S919" i="2"/>
  <c r="S836" i="2"/>
  <c r="S835" i="2"/>
  <c r="S327" i="2"/>
  <c r="S326" i="2"/>
  <c r="S157" i="2"/>
  <c r="S866" i="2"/>
  <c r="S149" i="2"/>
  <c r="S871" i="2"/>
  <c r="S870" i="2"/>
  <c r="S64" i="2"/>
  <c r="S166" i="2"/>
  <c r="S325" i="2"/>
  <c r="S834" i="2"/>
  <c r="S833" i="2"/>
  <c r="S877" i="2"/>
  <c r="S324" i="2"/>
  <c r="S160" i="2"/>
  <c r="S159" i="2"/>
  <c r="S869" i="2"/>
  <c r="S862" i="2"/>
  <c r="S832" i="2"/>
  <c r="S831" i="2"/>
  <c r="S830" i="2"/>
  <c r="S128" i="2"/>
  <c r="S853" i="2"/>
  <c r="S323" i="2"/>
  <c r="S868" i="2"/>
  <c r="S898" i="2"/>
  <c r="S876" i="2"/>
  <c r="S897" i="2"/>
  <c r="S896" i="2"/>
  <c r="S321" i="2"/>
  <c r="S322" i="2"/>
  <c r="S829" i="2"/>
  <c r="S828" i="2"/>
  <c r="S156" i="2"/>
  <c r="S827" i="2"/>
  <c r="S895" i="2"/>
  <c r="S875" i="2"/>
  <c r="S826" i="2"/>
  <c r="S857" i="2"/>
  <c r="S861" i="2"/>
  <c r="S825" i="2"/>
  <c r="S824" i="2"/>
  <c r="S99" i="2"/>
  <c r="S918" i="2"/>
  <c r="S320" i="2"/>
  <c r="S823" i="2"/>
  <c r="S894" i="2"/>
  <c r="S893" i="2"/>
  <c r="S214" i="2"/>
  <c r="S319" i="2"/>
  <c r="S822" i="2"/>
  <c r="S821" i="2"/>
  <c r="S820" i="2"/>
  <c r="S819" i="2"/>
  <c r="S818" i="2"/>
  <c r="S817" i="2"/>
  <c r="S816" i="2"/>
  <c r="S815" i="2"/>
  <c r="S814" i="2"/>
  <c r="S813" i="2"/>
  <c r="S812" i="2"/>
  <c r="S811" i="2"/>
  <c r="S810" i="2"/>
  <c r="S809" i="2"/>
  <c r="S808" i="2"/>
  <c r="S93" i="2"/>
  <c r="S318" i="2"/>
  <c r="S867" i="2"/>
  <c r="S807" i="2"/>
  <c r="S317" i="2"/>
  <c r="S806" i="2"/>
  <c r="S316" i="2"/>
  <c r="S805" i="2"/>
  <c r="S804" i="2"/>
  <c r="S155" i="2"/>
  <c r="S916" i="2"/>
  <c r="S917" i="2"/>
  <c r="S874" i="2"/>
  <c r="S803" i="2"/>
  <c r="S892" i="2"/>
  <c r="S40" i="2"/>
  <c r="S915" i="2"/>
  <c r="S802" i="2"/>
  <c r="S801" i="2"/>
  <c r="S914" i="2"/>
  <c r="S913" i="2"/>
  <c r="S315" i="2"/>
  <c r="S800" i="2"/>
  <c r="S799" i="2"/>
  <c r="S798" i="2"/>
  <c r="S314" i="2"/>
  <c r="S797" i="2"/>
  <c r="S796" i="2"/>
  <c r="S795" i="2"/>
  <c r="S794" i="2"/>
  <c r="S793" i="2"/>
  <c r="S120" i="2"/>
  <c r="S891" i="2"/>
  <c r="S890" i="2"/>
  <c r="S792" i="2"/>
  <c r="S791" i="2"/>
  <c r="S865" i="2"/>
  <c r="S185" i="2"/>
  <c r="S83" i="2"/>
  <c r="S39" i="2"/>
  <c r="S790" i="2"/>
  <c r="S789" i="2"/>
  <c r="S788" i="2"/>
  <c r="S787" i="2"/>
  <c r="S786" i="2"/>
  <c r="S785" i="2"/>
  <c r="S889" i="2"/>
  <c r="S313" i="2"/>
  <c r="S784" i="2"/>
  <c r="S888" i="2"/>
  <c r="S33" i="2"/>
  <c r="S38" i="2"/>
  <c r="S213" i="2"/>
  <c r="S783" i="2"/>
  <c r="S782" i="2"/>
  <c r="S887" i="2"/>
  <c r="S212" i="2"/>
  <c r="S781" i="2"/>
  <c r="S780" i="2"/>
  <c r="S779" i="2"/>
  <c r="S778" i="2"/>
  <c r="S777" i="2"/>
  <c r="S311" i="2"/>
  <c r="S312" i="2"/>
  <c r="S776" i="2"/>
  <c r="S775" i="2"/>
  <c r="S774" i="2"/>
  <c r="S886" i="2"/>
  <c r="S773" i="2"/>
  <c r="S772" i="2"/>
  <c r="S771" i="2"/>
  <c r="S770" i="2"/>
  <c r="S769" i="2"/>
  <c r="S768" i="2"/>
  <c r="S767" i="2"/>
  <c r="S119" i="2"/>
  <c r="S211" i="2"/>
  <c r="S310" i="2"/>
  <c r="S308" i="2"/>
  <c r="S309" i="2"/>
  <c r="S766" i="2"/>
  <c r="S765" i="2"/>
  <c r="S28" i="2"/>
  <c r="S764" i="2"/>
  <c r="S763" i="2"/>
  <c r="S762" i="2"/>
  <c r="S761" i="2"/>
  <c r="S760" i="2"/>
  <c r="S759" i="2"/>
  <c r="S758" i="2"/>
  <c r="S757" i="2"/>
  <c r="S756" i="2"/>
  <c r="S755" i="2"/>
  <c r="S103" i="2"/>
  <c r="S148" i="2"/>
  <c r="S210" i="2"/>
  <c r="S307" i="2"/>
  <c r="S306" i="2"/>
  <c r="S754" i="2"/>
  <c r="S753" i="2"/>
  <c r="S752" i="2"/>
  <c r="S912" i="2"/>
  <c r="S751" i="2"/>
  <c r="S20" i="2"/>
  <c r="S305" i="2"/>
  <c r="S750" i="2"/>
  <c r="S749" i="2"/>
  <c r="S748" i="2"/>
  <c r="S127" i="2"/>
  <c r="S126" i="2"/>
  <c r="S747" i="2"/>
  <c r="S184" i="2"/>
  <c r="S746" i="2"/>
  <c r="S745" i="2"/>
  <c r="S744" i="2"/>
  <c r="S743" i="2"/>
  <c r="S742" i="2"/>
  <c r="S118" i="2"/>
  <c r="S209" i="2"/>
  <c r="S208" i="2"/>
  <c r="S741" i="2"/>
  <c r="S207" i="2"/>
  <c r="S165" i="2"/>
  <c r="S48" i="2"/>
  <c r="S117" i="2"/>
  <c r="S116" i="2"/>
  <c r="S147" i="2"/>
  <c r="S304" i="2"/>
  <c r="S740" i="2"/>
  <c r="S860" i="2"/>
  <c r="S739" i="2"/>
  <c r="S738" i="2"/>
  <c r="S737" i="2"/>
  <c r="S736" i="2"/>
  <c r="S735" i="2"/>
  <c r="S734" i="2"/>
  <c r="S733" i="2"/>
  <c r="S732" i="2"/>
  <c r="S102" i="2"/>
  <c r="S164" i="2"/>
  <c r="S731" i="2"/>
  <c r="S730" i="2"/>
  <c r="S729" i="2"/>
  <c r="S728" i="2"/>
  <c r="S727" i="2"/>
  <c r="S726" i="2"/>
  <c r="S725" i="2"/>
  <c r="S724" i="2"/>
  <c r="S303" i="2"/>
  <c r="S723" i="2"/>
  <c r="S722" i="2"/>
  <c r="S721" i="2"/>
  <c r="S58" i="2"/>
  <c r="S720" i="2"/>
  <c r="S719" i="2"/>
  <c r="S718" i="2"/>
  <c r="S717" i="2"/>
  <c r="S716" i="2"/>
  <c r="S715" i="2"/>
  <c r="S183" i="2"/>
  <c r="S182" i="2"/>
  <c r="S302" i="2"/>
  <c r="S714" i="2"/>
  <c r="S98" i="2"/>
  <c r="S301" i="2"/>
  <c r="S713" i="2"/>
  <c r="S712" i="2"/>
  <c r="S711" i="2"/>
  <c r="S710" i="2"/>
  <c r="S709" i="2"/>
  <c r="S300" i="2"/>
  <c r="S125" i="2"/>
  <c r="S146" i="2"/>
  <c r="S145" i="2"/>
  <c r="S299" i="2"/>
  <c r="S298" i="2"/>
  <c r="S297" i="2"/>
  <c r="S296" i="2"/>
  <c r="S708" i="2"/>
  <c r="S707" i="2"/>
  <c r="S706" i="2"/>
  <c r="S705" i="2"/>
  <c r="S873" i="2"/>
  <c r="S704" i="2"/>
  <c r="S703" i="2"/>
  <c r="S206" i="2"/>
  <c r="S295" i="2"/>
  <c r="S294" i="2"/>
  <c r="S911" i="2"/>
  <c r="S181" i="2"/>
  <c r="S702" i="2"/>
  <c r="S701" i="2"/>
  <c r="S700" i="2"/>
  <c r="S699" i="2"/>
  <c r="S698" i="2"/>
  <c r="S293" i="2"/>
  <c r="S697" i="2"/>
  <c r="S696" i="2"/>
  <c r="S695" i="2"/>
  <c r="S144" i="2"/>
  <c r="S205" i="2"/>
  <c r="S292" i="2"/>
  <c r="S694" i="2"/>
  <c r="S693" i="2"/>
  <c r="S43" i="2"/>
  <c r="S291" i="2"/>
  <c r="S692" i="2"/>
  <c r="S691" i="2"/>
  <c r="S690" i="2"/>
  <c r="S689" i="2"/>
  <c r="S204" i="2"/>
  <c r="S290" i="2"/>
  <c r="S289" i="2"/>
  <c r="S688" i="2"/>
  <c r="S687" i="2"/>
  <c r="S101" i="2"/>
  <c r="S686" i="2"/>
  <c r="S685" i="2"/>
  <c r="S684" i="2"/>
  <c r="S683" i="2"/>
  <c r="S682" i="2"/>
  <c r="S110" i="2"/>
  <c r="S288" i="2"/>
  <c r="S681" i="2"/>
  <c r="S680" i="2"/>
  <c r="S679" i="2"/>
  <c r="S143" i="2"/>
  <c r="S287" i="2"/>
  <c r="S286" i="2"/>
  <c r="S678" i="2"/>
  <c r="S677" i="2"/>
  <c r="S180" i="2"/>
  <c r="S676" i="2"/>
  <c r="S675" i="2"/>
  <c r="S674" i="2"/>
  <c r="S673" i="2"/>
  <c r="S672" i="2"/>
  <c r="S671" i="2"/>
  <c r="S106" i="2"/>
  <c r="S203" i="2"/>
  <c r="S670" i="2"/>
  <c r="S669" i="2"/>
  <c r="S285" i="2"/>
  <c r="S284" i="2"/>
  <c r="S283" i="2"/>
  <c r="S668" i="2"/>
  <c r="S667" i="2"/>
  <c r="S666" i="2"/>
  <c r="S665" i="2"/>
  <c r="S282" i="2"/>
  <c r="S664" i="2"/>
  <c r="S663" i="2"/>
  <c r="S662" i="2"/>
  <c r="S661" i="2"/>
  <c r="S281" i="2"/>
  <c r="S5" i="2"/>
  <c r="S280" i="2"/>
  <c r="S279" i="2"/>
  <c r="S154" i="2"/>
  <c r="S660" i="2"/>
  <c r="S659" i="2"/>
  <c r="S658" i="2"/>
  <c r="S657" i="2"/>
  <c r="S57" i="2"/>
  <c r="S656" i="2"/>
  <c r="S655" i="2"/>
  <c r="S654" i="2"/>
  <c r="S278" i="2"/>
  <c r="S653" i="2"/>
  <c r="S652" i="2"/>
  <c r="S651" i="2"/>
  <c r="S650" i="2"/>
  <c r="S649" i="2"/>
  <c r="S648" i="2"/>
  <c r="S647" i="2"/>
  <c r="S646" i="2"/>
  <c r="S645" i="2"/>
  <c r="S644" i="2"/>
  <c r="S643" i="2"/>
  <c r="S142" i="2"/>
  <c r="S141" i="2"/>
  <c r="S202" i="2"/>
  <c r="S201" i="2"/>
  <c r="S277" i="2"/>
  <c r="S276" i="2"/>
  <c r="S642" i="2"/>
  <c r="S641" i="2"/>
  <c r="S640" i="2"/>
  <c r="S639" i="2"/>
  <c r="S638" i="2"/>
  <c r="S637" i="2"/>
  <c r="S636" i="2"/>
  <c r="S131" i="2"/>
  <c r="S635" i="2"/>
  <c r="S634" i="2"/>
  <c r="S633" i="2"/>
  <c r="S632" i="2"/>
  <c r="S631" i="2"/>
  <c r="S630" i="2"/>
  <c r="S629" i="2"/>
  <c r="S628" i="2"/>
  <c r="S627" i="2"/>
  <c r="S626" i="2"/>
  <c r="S625" i="2"/>
  <c r="S624" i="2"/>
  <c r="S623" i="2"/>
  <c r="S622" i="2"/>
  <c r="S621" i="2"/>
  <c r="S620" i="2"/>
  <c r="S63" i="2"/>
  <c r="S124" i="2"/>
  <c r="S129" i="2"/>
  <c r="S275" i="2"/>
  <c r="S274" i="2"/>
  <c r="S273" i="2"/>
  <c r="S272" i="2"/>
  <c r="S271" i="2"/>
  <c r="S910" i="2"/>
  <c r="S619" i="2"/>
  <c r="S618" i="2"/>
  <c r="S617" i="2"/>
  <c r="S616" i="2"/>
  <c r="S615" i="2"/>
  <c r="S614" i="2"/>
  <c r="S613" i="2"/>
  <c r="S612" i="2"/>
  <c r="S611" i="2"/>
  <c r="S610" i="2"/>
  <c r="S609" i="2"/>
  <c r="S608" i="2"/>
  <c r="S607" i="2"/>
  <c r="S606" i="2"/>
  <c r="S605" i="2"/>
  <c r="S604" i="2"/>
  <c r="S603" i="2"/>
  <c r="S602" i="2"/>
  <c r="S601" i="2"/>
  <c r="S600" i="2"/>
  <c r="S599" i="2"/>
  <c r="S598" i="2"/>
  <c r="S597" i="2"/>
  <c r="S596" i="2"/>
  <c r="S595" i="2"/>
  <c r="S594" i="2"/>
  <c r="S593" i="2"/>
  <c r="S592" i="2"/>
  <c r="S591" i="2"/>
  <c r="S590" i="2"/>
  <c r="S589" i="2"/>
  <c r="S588" i="2"/>
  <c r="S587" i="2"/>
  <c r="S115" i="2"/>
  <c r="S114" i="2"/>
  <c r="S140" i="2"/>
  <c r="S179" i="2"/>
  <c r="S200" i="2"/>
  <c r="S199" i="2"/>
  <c r="S885" i="2"/>
  <c r="S270" i="2"/>
  <c r="S269" i="2"/>
  <c r="S268" i="2"/>
  <c r="S267" i="2"/>
  <c r="S586" i="2"/>
  <c r="S585" i="2"/>
  <c r="S584" i="2"/>
  <c r="S583" i="2"/>
  <c r="S92" i="2"/>
  <c r="S91" i="2"/>
  <c r="S178" i="2"/>
  <c r="S198" i="2"/>
  <c r="S582" i="2"/>
  <c r="S581" i="2"/>
  <c r="S580" i="2"/>
  <c r="S579" i="2"/>
  <c r="S578" i="2"/>
  <c r="S577" i="2"/>
  <c r="S576" i="2"/>
  <c r="S177" i="2"/>
  <c r="S176" i="2"/>
  <c r="S575" i="2"/>
  <c r="S574" i="2"/>
  <c r="S97" i="2"/>
  <c r="S573" i="2"/>
  <c r="S572" i="2"/>
  <c r="S81" i="2"/>
  <c r="S82" i="2"/>
  <c r="S571" i="2"/>
  <c r="S570" i="2"/>
  <c r="S569" i="2"/>
  <c r="S568" i="2"/>
  <c r="S567" i="2"/>
  <c r="S566" i="2"/>
  <c r="S565" i="2"/>
  <c r="S564" i="2"/>
  <c r="S563" i="2"/>
  <c r="S562" i="2"/>
  <c r="S561" i="2"/>
  <c r="S560" i="2"/>
  <c r="S559" i="2"/>
  <c r="S558" i="2"/>
  <c r="S557" i="2"/>
  <c r="S556" i="2"/>
  <c r="S555" i="2"/>
  <c r="S60" i="2"/>
  <c r="S96" i="2"/>
  <c r="S100" i="2"/>
  <c r="S153" i="2"/>
  <c r="S266" i="2"/>
  <c r="S909" i="2"/>
  <c r="S554" i="2"/>
  <c r="S553" i="2"/>
  <c r="S552" i="2"/>
  <c r="S551" i="2"/>
  <c r="S73" i="2"/>
  <c r="S550" i="2"/>
  <c r="S549" i="2"/>
  <c r="S68" i="2"/>
  <c r="S548" i="2"/>
  <c r="S547" i="2"/>
  <c r="S546" i="2"/>
  <c r="S545" i="2"/>
  <c r="S544" i="2"/>
  <c r="S66" i="2"/>
  <c r="S265" i="2"/>
  <c r="S543" i="2"/>
  <c r="S542" i="2"/>
  <c r="S541" i="2"/>
  <c r="S540" i="2"/>
  <c r="S539" i="2"/>
  <c r="S538" i="2"/>
  <c r="S537" i="2"/>
  <c r="S536" i="2"/>
  <c r="S535" i="2"/>
  <c r="S534" i="2"/>
  <c r="S533" i="2"/>
  <c r="S532" i="2"/>
  <c r="S62" i="2"/>
  <c r="S197" i="2"/>
  <c r="S264" i="2"/>
  <c r="S531" i="2"/>
  <c r="S175" i="2"/>
  <c r="S67" i="2"/>
  <c r="S530" i="2"/>
  <c r="S529" i="2"/>
  <c r="S528" i="2"/>
  <c r="S527" i="2"/>
  <c r="S526" i="2"/>
  <c r="S139" i="2"/>
  <c r="S525" i="2"/>
  <c r="S524" i="2"/>
  <c r="S523" i="2"/>
  <c r="S522" i="2"/>
  <c r="S521" i="2"/>
  <c r="S520" i="2"/>
  <c r="S519" i="2"/>
  <c r="S518" i="2"/>
  <c r="S517" i="2"/>
  <c r="S138" i="2"/>
  <c r="S196" i="2"/>
  <c r="S263" i="2"/>
  <c r="S262" i="2"/>
  <c r="S261" i="2"/>
  <c r="S260" i="2"/>
  <c r="S516" i="2"/>
  <c r="S515" i="2"/>
  <c r="S514" i="2"/>
  <c r="S513" i="2"/>
  <c r="S512" i="2"/>
  <c r="S511" i="2"/>
  <c r="S510" i="2"/>
  <c r="S509" i="2"/>
  <c r="S195" i="2"/>
  <c r="S508" i="2"/>
  <c r="S507" i="2"/>
  <c r="S506" i="2"/>
  <c r="S505" i="2"/>
  <c r="S504" i="2"/>
  <c r="S503" i="2"/>
  <c r="S502" i="2"/>
  <c r="S501" i="2"/>
  <c r="S500" i="2"/>
  <c r="S499" i="2"/>
  <c r="S498" i="2"/>
  <c r="S56" i="2"/>
  <c r="S105" i="2"/>
  <c r="S123" i="2"/>
  <c r="S863" i="2"/>
  <c r="S259" i="2"/>
  <c r="S258" i="2"/>
  <c r="S257" i="2"/>
  <c r="S256" i="2"/>
  <c r="S497" i="2"/>
  <c r="S496" i="2"/>
  <c r="S495" i="2"/>
  <c r="S494" i="2"/>
  <c r="S493" i="2"/>
  <c r="S492" i="2"/>
  <c r="S491" i="2"/>
  <c r="S490" i="2"/>
  <c r="S489" i="2"/>
  <c r="S488" i="2"/>
  <c r="S487" i="2"/>
  <c r="S486" i="2"/>
  <c r="S485" i="2"/>
  <c r="S137" i="2"/>
  <c r="S859" i="2"/>
  <c r="S194" i="2"/>
  <c r="S255" i="2"/>
  <c r="S46" i="2"/>
  <c r="S856" i="2"/>
  <c r="S174" i="2"/>
  <c r="S54" i="2"/>
  <c r="S70" i="2"/>
  <c r="S69" i="2"/>
  <c r="S484" i="2"/>
  <c r="S483" i="2"/>
  <c r="S482" i="2"/>
  <c r="S481" i="2"/>
  <c r="S480" i="2"/>
  <c r="S253" i="2"/>
  <c r="S254" i="2"/>
  <c r="S479" i="2"/>
  <c r="S478" i="2"/>
  <c r="S477" i="2"/>
  <c r="S476" i="2"/>
  <c r="S475" i="2"/>
  <c r="S474" i="2"/>
  <c r="S473" i="2"/>
  <c r="S472" i="2"/>
  <c r="S471" i="2"/>
  <c r="S470" i="2"/>
  <c r="S469" i="2"/>
  <c r="S468" i="2"/>
  <c r="S467" i="2"/>
  <c r="S466" i="2"/>
  <c r="S122" i="2"/>
  <c r="S136" i="2"/>
  <c r="S173" i="2"/>
  <c r="S252" i="2"/>
  <c r="S251" i="2"/>
  <c r="S250" i="2"/>
  <c r="S465" i="2"/>
  <c r="S464" i="2"/>
  <c r="S463" i="2"/>
  <c r="S462" i="2"/>
  <c r="S461" i="2"/>
  <c r="S460" i="2"/>
  <c r="S459" i="2"/>
  <c r="S458" i="2"/>
  <c r="S457" i="2"/>
  <c r="S456" i="2"/>
  <c r="S172" i="2"/>
  <c r="S249" i="2"/>
  <c r="S455" i="2"/>
  <c r="S454" i="2"/>
  <c r="S453" i="2"/>
  <c r="S452" i="2"/>
  <c r="S451" i="2"/>
  <c r="S450" i="2"/>
  <c r="S193" i="2"/>
  <c r="S449" i="2"/>
  <c r="S448" i="2"/>
  <c r="S447" i="2"/>
  <c r="S446" i="2"/>
  <c r="S858" i="2"/>
  <c r="S248" i="2"/>
  <c r="S445" i="2"/>
  <c r="S444" i="2"/>
  <c r="S443" i="2"/>
  <c r="S442" i="2"/>
  <c r="S441" i="2"/>
  <c r="S440" i="2"/>
  <c r="S439" i="2"/>
  <c r="S438" i="2"/>
  <c r="S437" i="2"/>
  <c r="S121" i="2"/>
  <c r="S152" i="2"/>
  <c r="S151" i="2"/>
  <c r="S150" i="2"/>
  <c r="S855" i="2"/>
  <c r="S247" i="2"/>
  <c r="S246" i="2"/>
  <c r="S245" i="2"/>
  <c r="S908" i="2"/>
  <c r="S436" i="2"/>
  <c r="S435" i="2"/>
  <c r="S171" i="2"/>
  <c r="S434" i="2"/>
  <c r="S433" i="2"/>
  <c r="S432" i="2"/>
  <c r="S112" i="2"/>
  <c r="S431" i="2"/>
  <c r="S430" i="2"/>
  <c r="S429" i="2"/>
  <c r="S428" i="2"/>
  <c r="S427" i="2"/>
  <c r="S426" i="2"/>
  <c r="S425" i="2"/>
  <c r="S424" i="2"/>
  <c r="S423" i="2"/>
  <c r="S422" i="2"/>
  <c r="S244" i="2"/>
  <c r="S243" i="2"/>
  <c r="S242" i="2"/>
  <c r="S421" i="2"/>
  <c r="S420" i="2"/>
  <c r="S419" i="2"/>
  <c r="S418" i="2"/>
  <c r="S417" i="2"/>
  <c r="S416" i="2"/>
  <c r="S415" i="2"/>
  <c r="S414" i="2"/>
  <c r="S413" i="2"/>
  <c r="S412" i="2"/>
  <c r="S411" i="2"/>
  <c r="S410" i="2"/>
  <c r="S409" i="2"/>
  <c r="S408" i="2"/>
  <c r="S135" i="2"/>
  <c r="S192" i="2"/>
  <c r="S241" i="2"/>
  <c r="S240" i="2"/>
  <c r="S407" i="2"/>
  <c r="S406" i="2"/>
  <c r="S405" i="2"/>
  <c r="S134" i="2"/>
  <c r="S191" i="2"/>
  <c r="S404" i="2"/>
  <c r="S403" i="2"/>
  <c r="S170" i="2"/>
  <c r="S402" i="2"/>
  <c r="S401" i="2"/>
  <c r="S190" i="2"/>
  <c r="S400" i="2"/>
  <c r="S163" i="2"/>
  <c r="S52" i="2"/>
  <c r="S399" i="2"/>
  <c r="S398" i="2"/>
  <c r="S397" i="2"/>
  <c r="S396" i="2"/>
  <c r="S395" i="2"/>
  <c r="S234" i="2"/>
  <c r="S239" i="2"/>
  <c r="S238" i="2"/>
  <c r="S233" i="2"/>
  <c r="S907" i="2"/>
  <c r="S237" i="2"/>
  <c r="S236" i="2"/>
  <c r="S235" i="2"/>
  <c r="S394" i="2"/>
  <c r="S393" i="2"/>
  <c r="S392" i="2"/>
  <c r="S391" i="2"/>
  <c r="S390" i="2"/>
  <c r="S389" i="2"/>
  <c r="S388" i="2"/>
  <c r="S387" i="2"/>
  <c r="S386" i="2"/>
  <c r="S385" i="2"/>
  <c r="S384" i="2"/>
  <c r="S383" i="2"/>
  <c r="S382" i="2"/>
  <c r="S381" i="2"/>
  <c r="S380" i="2"/>
  <c r="S379" i="2"/>
  <c r="S378" i="2"/>
  <c r="S377" i="2"/>
  <c r="S376" i="2"/>
  <c r="S375" i="2"/>
  <c r="S374" i="2"/>
  <c r="S373" i="2"/>
  <c r="S372" i="2"/>
  <c r="S53" i="2"/>
  <c r="S104" i="2"/>
  <c r="S133" i="2"/>
  <c r="S884" i="2"/>
  <c r="S883" i="2"/>
  <c r="S882" i="2"/>
  <c r="S232" i="2"/>
  <c r="S231" i="2"/>
  <c r="S230" i="2"/>
  <c r="S229" i="2"/>
  <c r="S228" i="2"/>
  <c r="S226" i="2"/>
  <c r="S227" i="2"/>
  <c r="S906" i="2"/>
  <c r="S905" i="2"/>
  <c r="S371" i="2"/>
  <c r="S370" i="2"/>
  <c r="S369" i="2"/>
  <c r="S368" i="2"/>
  <c r="S367" i="2"/>
  <c r="S169" i="2"/>
  <c r="S366" i="2"/>
  <c r="S365" i="2"/>
  <c r="S364" i="2"/>
  <c r="S363" i="2"/>
  <c r="S168" i="2"/>
  <c r="S161" i="2"/>
  <c r="S162" i="2"/>
  <c r="S362" i="2"/>
  <c r="S225" i="2"/>
  <c r="S361" i="2"/>
  <c r="S360" i="2"/>
  <c r="S95" i="2"/>
  <c r="S109" i="2"/>
  <c r="S108" i="2"/>
  <c r="S359" i="2"/>
  <c r="S358" i="2"/>
  <c r="S35" i="2"/>
  <c r="S90" i="2"/>
  <c r="S89" i="2"/>
  <c r="S88" i="2"/>
  <c r="S87" i="2"/>
  <c r="S94" i="2"/>
  <c r="S158" i="2"/>
  <c r="S224" i="2"/>
  <c r="S219" i="2"/>
  <c r="S904" i="2"/>
  <c r="S223" i="2"/>
  <c r="S222" i="2"/>
  <c r="S903" i="2"/>
  <c r="S221" i="2"/>
  <c r="S220" i="2"/>
  <c r="S357" i="2"/>
  <c r="S356" i="2"/>
  <c r="S355" i="2"/>
  <c r="S354" i="2"/>
  <c r="S353" i="2"/>
  <c r="S352" i="2"/>
  <c r="S351" i="2"/>
  <c r="S350" i="2"/>
  <c r="S349" i="2"/>
  <c r="S348" i="2"/>
  <c r="S347" i="2"/>
  <c r="S346" i="2"/>
  <c r="S345" i="2"/>
  <c r="S344" i="2"/>
  <c r="S343" i="2"/>
  <c r="S342" i="2"/>
  <c r="S341" i="2"/>
  <c r="S340" i="2"/>
  <c r="S339" i="2"/>
  <c r="S338" i="2"/>
  <c r="S337" i="2"/>
  <c r="S336" i="2"/>
  <c r="S335" i="2"/>
  <c r="S334" i="2"/>
  <c r="S333" i="2"/>
  <c r="S332" i="2"/>
  <c r="S85" i="2"/>
  <c r="S86" i="2"/>
  <c r="S189" i="2"/>
  <c r="S188" i="2"/>
  <c r="S187" i="2"/>
  <c r="S186" i="2"/>
  <c r="S902" i="2"/>
  <c r="S901" i="2"/>
  <c r="S900" i="2"/>
  <c r="S218" i="2"/>
  <c r="S167" i="2"/>
  <c r="S881" i="2"/>
  <c r="S880" i="2"/>
  <c r="S864" i="2"/>
  <c r="S77" i="2"/>
  <c r="S76" i="2"/>
  <c r="S75" i="2"/>
  <c r="S80" i="2"/>
  <c r="S79" i="2"/>
  <c r="S78" i="2"/>
  <c r="S61" i="2"/>
  <c r="S72" i="2"/>
  <c r="S74" i="2"/>
  <c r="S84" i="2"/>
  <c r="S113" i="2"/>
  <c r="S132" i="2"/>
  <c r="S37" i="2"/>
  <c r="S36" i="2"/>
  <c r="S59" i="2"/>
  <c r="S42" i="2"/>
  <c r="S71" i="2"/>
  <c r="S111" i="2"/>
  <c r="S65" i="2"/>
  <c r="S107" i="2"/>
  <c r="S34" i="2"/>
  <c r="S47" i="2"/>
  <c r="S51" i="2"/>
  <c r="S50" i="2"/>
  <c r="S49" i="2"/>
  <c r="S44" i="2"/>
  <c r="S45" i="2"/>
  <c r="S55" i="2"/>
  <c r="S6" i="2"/>
  <c r="S41" i="2"/>
  <c r="S18" i="2"/>
  <c r="S23" i="2"/>
  <c r="S32" i="2"/>
  <c r="S29" i="2"/>
  <c r="S26" i="2"/>
  <c r="S4" i="2"/>
  <c r="S16" i="2"/>
  <c r="S24" i="2"/>
  <c r="S25" i="2"/>
  <c r="S27" i="2"/>
  <c r="S21" i="2"/>
  <c r="S30" i="2"/>
  <c r="S19" i="2"/>
  <c r="S15" i="2"/>
  <c r="S12" i="2"/>
  <c r="S22" i="2"/>
  <c r="S2" i="2"/>
  <c r="S14" i="2"/>
  <c r="S17" i="2"/>
  <c r="S3" i="2"/>
  <c r="S10" i="2"/>
  <c r="S11" i="2"/>
  <c r="S9" i="2"/>
  <c r="S8" i="2"/>
  <c r="S13" i="2"/>
  <c r="S7" i="2"/>
</calcChain>
</file>

<file path=xl/sharedStrings.xml><?xml version="1.0" encoding="utf-8"?>
<sst xmlns="http://schemas.openxmlformats.org/spreadsheetml/2006/main" count="16786" uniqueCount="4527">
  <si>
    <t>Country Stampede</t>
  </si>
  <si>
    <t>Dates</t>
  </si>
  <si>
    <t>Neewollah</t>
  </si>
  <si>
    <t>Independece, KS</t>
  </si>
  <si>
    <t>Biking Across Kansas</t>
  </si>
  <si>
    <t>Friday after Labor Day (Septmeber)</t>
  </si>
  <si>
    <t>Kansas State Fair</t>
  </si>
  <si>
    <t>Dodge City Days</t>
  </si>
  <si>
    <t>Dodge City, KS</t>
  </si>
  <si>
    <t>Midwest Deutsche Oktoberfest</t>
  </si>
  <si>
    <t>Weekend in Mid-October</t>
  </si>
  <si>
    <t>2 days</t>
  </si>
  <si>
    <t>10 days</t>
  </si>
  <si>
    <t>Unknown</t>
  </si>
  <si>
    <t>Lenora Jubilee</t>
  </si>
  <si>
    <t>3rd weekend in June</t>
  </si>
  <si>
    <t>Lenora, KS</t>
  </si>
  <si>
    <t>Riverfest</t>
  </si>
  <si>
    <t>Wichita, KS</t>
  </si>
  <si>
    <t>Manhattan, KS</t>
  </si>
  <si>
    <t>Outdoor Mass Gatherings in Kansas</t>
  </si>
  <si>
    <t>Symphony in the Flint Hills</t>
  </si>
  <si>
    <t>County</t>
  </si>
  <si>
    <t>Pottawatomie</t>
  </si>
  <si>
    <t>Ford</t>
  </si>
  <si>
    <t>Reno</t>
  </si>
  <si>
    <t>Montgomery</t>
  </si>
  <si>
    <t>Ellis</t>
  </si>
  <si>
    <t>Kansas Championship Ranch Rodeo</t>
  </si>
  <si>
    <t>Medicine Lodge, KS</t>
  </si>
  <si>
    <t>Walnut Valley Festival</t>
  </si>
  <si>
    <t>Winfield, KS</t>
  </si>
  <si>
    <t>Cowley</t>
  </si>
  <si>
    <t>Norton</t>
  </si>
  <si>
    <t>Shawnee</t>
  </si>
  <si>
    <t>Barber</t>
  </si>
  <si>
    <t>Source</t>
  </si>
  <si>
    <t>Begin Date</t>
  </si>
  <si>
    <t>End Date</t>
  </si>
  <si>
    <t># of Consecutive Days</t>
  </si>
  <si>
    <t>Event Name</t>
  </si>
  <si>
    <t>Brief Description</t>
  </si>
  <si>
    <t>Fit Defintion?</t>
  </si>
  <si>
    <t>Address 1</t>
  </si>
  <si>
    <t>Address 2</t>
  </si>
  <si>
    <t>City</t>
  </si>
  <si>
    <t>State</t>
  </si>
  <si>
    <t>Zip</t>
  </si>
  <si>
    <t>Phone</t>
  </si>
  <si>
    <t>Toll Free</t>
  </si>
  <si>
    <t>Fax</t>
  </si>
  <si>
    <t>E-mail</t>
  </si>
  <si>
    <t>Web Address</t>
  </si>
  <si>
    <t>Handicap Accessible</t>
  </si>
  <si>
    <t>Admission Charge</t>
  </si>
  <si>
    <t>Publication Date</t>
  </si>
  <si>
    <t>150 Things I Love About Kansas</t>
  </si>
  <si>
    <t>This special exhibit will commemorate the 150th anniversary of Kansas statehood.</t>
  </si>
  <si>
    <t>No</t>
  </si>
  <si>
    <t>6425 SW 6th Avenue</t>
  </si>
  <si>
    <t>Topeka</t>
  </si>
  <si>
    <t>KS</t>
  </si>
  <si>
    <t>66615-1099</t>
  </si>
  <si>
    <t>(785) 272-8681</t>
  </si>
  <si>
    <t>(786) 272-8682</t>
  </si>
  <si>
    <t>kansasmuseum@kshs.org</t>
  </si>
  <si>
    <t>kshs.org</t>
  </si>
  <si>
    <t>Yes</t>
  </si>
  <si>
    <t>"What to Wear to the Kansas Sesquicentennial?"</t>
  </si>
  <si>
    <t>Kansas celebrates its 150th anniversary of Statehood!</t>
  </si>
  <si>
    <t>204 S. Main</t>
  </si>
  <si>
    <t>Wichita</t>
  </si>
  <si>
    <t>(316) 265-9314</t>
  </si>
  <si>
    <t>http://www.wichitahistory.org</t>
  </si>
  <si>
    <t>150th Anniversary Exhibits for Franklin County</t>
  </si>
  <si>
    <t>150th Anniversary Events</t>
  </si>
  <si>
    <t>2011 East Logan</t>
  </si>
  <si>
    <t>Ottawa</t>
  </si>
  <si>
    <t>(785) 242-1411</t>
  </si>
  <si>
    <t>director@visitottawakansas.com</t>
  </si>
  <si>
    <t>www.visitottawakansas.com</t>
  </si>
  <si>
    <t>Special Saturday Adventures</t>
  </si>
  <si>
    <t>Special Saturday Events at the Kansas Kids Museum are educational and fun!</t>
  </si>
  <si>
    <t>1500 East 11th</t>
  </si>
  <si>
    <t>Hutchinson Mall near the Food Court</t>
  </si>
  <si>
    <t>Hutchinson</t>
  </si>
  <si>
    <t>(620) 669-5156</t>
  </si>
  <si>
    <t>kansaskidsmuseum@gmail.com</t>
  </si>
  <si>
    <t>Classic Movie Nights @ the Granada Theatre</t>
  </si>
  <si>
    <t>Classic Movie Thursday nights first Thursday of every month.</t>
  </si>
  <si>
    <t>807 Commercial</t>
  </si>
  <si>
    <t>Emporia</t>
  </si>
  <si>
    <t>(620) 342-3342</t>
  </si>
  <si>
    <t>director@emporiagranada.com</t>
  </si>
  <si>
    <t>emporiagranada.com</t>
  </si>
  <si>
    <t>Third Thursday</t>
  </si>
  <si>
    <t>The Third Thursday of each month Downtown Hutchinson is a flurry of activity.</t>
  </si>
  <si>
    <t>Various Locations Downtown</t>
  </si>
  <si>
    <t>Hutchin</t>
  </si>
  <si>
    <t>(620) 694-2677</t>
  </si>
  <si>
    <t>www.downtownhutchinson.com</t>
  </si>
  <si>
    <t>Explore Evolution</t>
  </si>
  <si>
    <t>Features discoveries about the evolution of life.</t>
  </si>
  <si>
    <t>1345 Jayhawk Blvd</t>
  </si>
  <si>
    <t>University of Kansas Campus</t>
  </si>
  <si>
    <t>Lawrence</t>
  </si>
  <si>
    <t>(785) 864-4450</t>
  </si>
  <si>
    <t>http://nhm.ku.edu/</t>
  </si>
  <si>
    <t>Ghost Tour of Kansas City</t>
  </si>
  <si>
    <t>Visit the most haunted places in Kansas City!</t>
  </si>
  <si>
    <t>411 N. 6th Street</t>
  </si>
  <si>
    <t>Reservations are required</t>
  </si>
  <si>
    <t>Kansas City</t>
  </si>
  <si>
    <t>(785) 383-2925</t>
  </si>
  <si>
    <t>bethmeyerks@gmail.com</t>
  </si>
  <si>
    <t>www.hauntedkansastours.com</t>
  </si>
  <si>
    <t>Senior Wednesday at the Zoo!</t>
  </si>
  <si>
    <t>635 SW Gage Blvd.</t>
  </si>
  <si>
    <t>Topeka Zoo</t>
  </si>
  <si>
    <t>(785) 368-9134</t>
  </si>
  <si>
    <t>www.topekazoo.com</t>
  </si>
  <si>
    <t>Spring Theater Production - "Tom, Dick, &amp; Harry"</t>
  </si>
  <si>
    <t>Quality Dinner Theater with Great Food. Broadway on the prairie without the high price</t>
  </si>
  <si>
    <t>101 E Wyatt Earp Blvd</t>
  </si>
  <si>
    <t>Depot Theater Company</t>
  </si>
  <si>
    <t>Dodge City</t>
  </si>
  <si>
    <t>(620) 225-1001</t>
  </si>
  <si>
    <t>repco@depottheaterco.com</t>
  </si>
  <si>
    <t>www.depottheaterco.com</t>
  </si>
  <si>
    <t>Emma Chase Biker Breakfast</t>
  </si>
  <si>
    <t>BIKER BREAKFAST at the Emma Chase Cafe in the Kansas Flint Hills.</t>
  </si>
  <si>
    <t>Emma Chase Cafe</t>
  </si>
  <si>
    <t>317 Broadway</t>
  </si>
  <si>
    <t>Cottonwood Falls</t>
  </si>
  <si>
    <t>(620) 273-6020</t>
  </si>
  <si>
    <t>prairie-maid@sbcglobal.net</t>
  </si>
  <si>
    <t>www.emmachasecafe.com</t>
  </si>
  <si>
    <t>Freedom's Frontier &amp; Kansas-Nebraska Act Exhibits 150</t>
  </si>
  <si>
    <t>Pre-statehood exhibit.</t>
  </si>
  <si>
    <t>200 W. 9th St.</t>
  </si>
  <si>
    <t>Carnegie Building</t>
  </si>
  <si>
    <t>(785) 865-4499</t>
  </si>
  <si>
    <t>www.freedomsfrontier.org</t>
  </si>
  <si>
    <t>Coffee At the Cosmo</t>
  </si>
  <si>
    <t>Learn something new about the Cosmosphere each month.</t>
  </si>
  <si>
    <t>1100 North Plum</t>
  </si>
  <si>
    <t>(620) 662-2305</t>
  </si>
  <si>
    <t>(800) 397-0330</t>
  </si>
  <si>
    <t>Dianneb@cosmo.org</t>
  </si>
  <si>
    <t>www.cosmo.org</t>
  </si>
  <si>
    <t>Lawrence Farmers Market Saturday</t>
  </si>
  <si>
    <t>One of the oldest Farmers Markets in Kansas.</t>
  </si>
  <si>
    <t>800 Block of New Hampshire</t>
  </si>
  <si>
    <t>Eastside parking lot</t>
  </si>
  <si>
    <t>(785) 331-4445</t>
  </si>
  <si>
    <t>http://downtownlawrence.com/farmersmarket.html</t>
  </si>
  <si>
    <t>All Wheels Nite</t>
  </si>
  <si>
    <t>Got a motorcycle or car you like to show off? See the best in the area!</t>
  </si>
  <si>
    <t>205 N. Penn</t>
  </si>
  <si>
    <t>Independence</t>
  </si>
  <si>
    <t>(620) 331-0604</t>
  </si>
  <si>
    <t>Overland Park Arboretum Sculpture Exhibit</t>
  </si>
  <si>
    <t>Sculptures of divergent styles and media placed to blend with the flower and water gardens.</t>
  </si>
  <si>
    <t>8909 W 179th St</t>
  </si>
  <si>
    <t>Overland Park Arboretum</t>
  </si>
  <si>
    <t>Overland Park</t>
  </si>
  <si>
    <t>(913) 685-3604</t>
  </si>
  <si>
    <t>www.opkansas.org/_Vis/Arboretum/sculpture_arboretum.cfm</t>
  </si>
  <si>
    <t>Black Jack Battlefield &amp; Nature Park 2011 Tours 150</t>
  </si>
  <si>
    <t>2011 Season for "guided tours" begins at 1:00 p.m.</t>
  </si>
  <si>
    <t>163 E 2000 Rd</t>
  </si>
  <si>
    <t>Black Jack Battlefield</t>
  </si>
  <si>
    <t>Wellsville</t>
  </si>
  <si>
    <t>(785) 883-2106</t>
  </si>
  <si>
    <t>info@blackjackbattlefield.org</t>
  </si>
  <si>
    <t>http://www.blackjackbattlefield.org/</t>
  </si>
  <si>
    <t>Farmers Market</t>
  </si>
  <si>
    <t>Marysville Farmers Market in historic downtown Marysville.</t>
  </si>
  <si>
    <t>7th &amp; Broadway</t>
  </si>
  <si>
    <t>Marysville</t>
  </si>
  <si>
    <t>(785) 562-6818</t>
  </si>
  <si>
    <t>marysvillefarmersmarket@yahoo.com</t>
  </si>
  <si>
    <t>www.marysvillepedia.com/Organizations/Community/MarysvilleSportRec/Today/index.htm.</t>
  </si>
  <si>
    <t>Emporia Farmers Market</t>
  </si>
  <si>
    <t>Shop Emporia Farmers Market for a fun,nutritional and delicious experience!</t>
  </si>
  <si>
    <t>700 Merchant</t>
  </si>
  <si>
    <t>(620) 343-6555</t>
  </si>
  <si>
    <t>tlcfh@yahoo.com</t>
  </si>
  <si>
    <t>tlcflinthills.org</t>
  </si>
  <si>
    <t>Farmer's Market</t>
  </si>
  <si>
    <t>Fresh Produce</t>
  </si>
  <si>
    <t>1409 Williams</t>
  </si>
  <si>
    <t>Great Bend Public Library Parking Lot</t>
  </si>
  <si>
    <t>Great Bend</t>
  </si>
  <si>
    <t>(620) 793-4111</t>
  </si>
  <si>
    <t>SECOND THURSDAY</t>
  </si>
  <si>
    <t>Shop &amp; Play in Kingman Every Second Thursday 4 p.m. - 7 p.m.</t>
  </si>
  <si>
    <t>DOWNTOWN KINGMAN</t>
  </si>
  <si>
    <t>322 N Main</t>
  </si>
  <si>
    <t>KINGMAN</t>
  </si>
  <si>
    <t>(620) 532-1853</t>
  </si>
  <si>
    <t>kingmanareachamber@gmail.com</t>
  </si>
  <si>
    <t>www.kingmancc.com</t>
  </si>
  <si>
    <t>Reno County Farmers Market</t>
  </si>
  <si>
    <t>Freshest produce available in Reno County!</t>
  </si>
  <si>
    <t>Second and Washington</t>
  </si>
  <si>
    <t>(620) 669-0033</t>
  </si>
  <si>
    <t>Atchison Farmer's Market</t>
  </si>
  <si>
    <t>Locally-grown vegetables and fruit and other home-produced items.</t>
  </si>
  <si>
    <t>500 Main St</t>
  </si>
  <si>
    <t>Atchison</t>
  </si>
  <si>
    <t>(913) 367-0050</t>
  </si>
  <si>
    <t>longviewfarm@charter.net</t>
  </si>
  <si>
    <t>The best fruits and vegetables you'll find anywhere.</t>
  </si>
  <si>
    <t>200 W Wyatt Earp Blvd</t>
  </si>
  <si>
    <t>Downtown</t>
  </si>
  <si>
    <t>(620) 227-3936</t>
  </si>
  <si>
    <t>Texas Hold 'Em Monthly Fund Raiser</t>
  </si>
  <si>
    <t>Texas Hold 'Em Fundraiser Tournament Held Monthly at the Independence Science and Tech Center.</t>
  </si>
  <si>
    <t>125 S. Penn</t>
  </si>
  <si>
    <t>(620) 331-1890</t>
  </si>
  <si>
    <t>tourism@indkschamber.org</t>
  </si>
  <si>
    <t>www.indkschamber.org</t>
  </si>
  <si>
    <t>Eisenhower: Agent of Change</t>
  </si>
  <si>
    <t>Eisenhower: Agent of Change June 25, 2011 to January 29, 2012</t>
  </si>
  <si>
    <t>Eisenhower Presidential Museum</t>
  </si>
  <si>
    <t>200 SE Fourth</t>
  </si>
  <si>
    <t>Abilene</t>
  </si>
  <si>
    <t>(785) 263-6700</t>
  </si>
  <si>
    <t>(877) 746-4453</t>
  </si>
  <si>
    <t>eisenhower.library@nara.gov</t>
  </si>
  <si>
    <t>http://www.eisenhower.archives.gov/Museum/Exhibits_Schedule/Exhibits_Schedule.html</t>
  </si>
  <si>
    <t>Border Bike Run</t>
  </si>
  <si>
    <t>Gathering of motorcycle enthusiasts first Sunday of the Month beginning in April - October</t>
  </si>
  <si>
    <t>Paris Park</t>
  </si>
  <si>
    <t>712 W. Washington</t>
  </si>
  <si>
    <t>Arkansas City</t>
  </si>
  <si>
    <t>(620) 442-0236</t>
  </si>
  <si>
    <t>(620) 441-0048</t>
  </si>
  <si>
    <t>ac-cvb@arkcitychamber.org</t>
  </si>
  <si>
    <t>www.arkcity.org</t>
  </si>
  <si>
    <t>Exhibition: Streams of Consciousness: The Histories, Mythologies, and Ecologies of Water</t>
  </si>
  <si>
    <t>Water Wonders</t>
  </si>
  <si>
    <t>242 S. Santa Fe</t>
  </si>
  <si>
    <t>Salina Art Center</t>
  </si>
  <si>
    <t>Salina</t>
  </si>
  <si>
    <t>(785) 827-1431</t>
  </si>
  <si>
    <t>info@salinaartcenter.org</t>
  </si>
  <si>
    <t>http://www.salinaartcenter.org</t>
  </si>
  <si>
    <t>Reflect on Kansas 150th Through the Eyes of Winslow Homer</t>
  </si>
  <si>
    <t>Celebrate Kansas 150th by reflecting what life was like during those tumultuous times.</t>
  </si>
  <si>
    <t>111 N. Aztec Street</t>
  </si>
  <si>
    <t>111 N. Aztec (main) Street</t>
  </si>
  <si>
    <t>Montezuma</t>
  </si>
  <si>
    <t>(620) 846-2527</t>
  </si>
  <si>
    <t>(620) 846-2810</t>
  </si>
  <si>
    <t>stauthm@ucom.net</t>
  </si>
  <si>
    <t>www.stauthmemorialmuseum.org</t>
  </si>
  <si>
    <t>"Brim Down ... Cowboy &amp; Historical Figures by Johne Richardson"</t>
  </si>
  <si>
    <t>"Brim Down" - Johne Richardson</t>
  </si>
  <si>
    <t>110 N. Main</t>
  </si>
  <si>
    <t>El Dorado</t>
  </si>
  <si>
    <t>(316) 321-1212</t>
  </si>
  <si>
    <t>Move Over Mrs Markham</t>
  </si>
  <si>
    <t>The Midwest’s premiere theatre restaurant rated as “the best dinner theatre in the country.”</t>
  </si>
  <si>
    <t>9229 Foster St</t>
  </si>
  <si>
    <t>(913) 649-7469</t>
  </si>
  <si>
    <t>(866) 333-7469</t>
  </si>
  <si>
    <t>www.newtheatre.com</t>
  </si>
  <si>
    <t>Haunted Atchison Activities</t>
  </si>
  <si>
    <t>A multitude of activities in "The Most Haunted Town in Kansas"!</t>
  </si>
  <si>
    <t>200 South 10th St</t>
  </si>
  <si>
    <t>(913) 367-2427</t>
  </si>
  <si>
    <t>(800) 234-1854</t>
  </si>
  <si>
    <t>(913) 367-2485</t>
  </si>
  <si>
    <t>tours@atchisonkansas.net</t>
  </si>
  <si>
    <t>www.atchisonkansas.net</t>
  </si>
  <si>
    <t>Haunted Atchison Tours</t>
  </si>
  <si>
    <t>Narrated trolley tour featuring ghostly tales about Atchison's historic homes.</t>
  </si>
  <si>
    <t>200 S 10th St</t>
  </si>
  <si>
    <t>Haunted Season Activities</t>
  </si>
  <si>
    <t>Experience the "most haunted town in Kansas". Reservations are recommended.</t>
  </si>
  <si>
    <t>Wildcats of the World</t>
  </si>
  <si>
    <t>Get acquainted with all 36 species of wildcats from around the world.</t>
  </si>
  <si>
    <t>625 N Hedville Rd</t>
  </si>
  <si>
    <t>(785) 827-9488</t>
  </si>
  <si>
    <t>vickee@rollinghillswildlife.com</t>
  </si>
  <si>
    <t>www.rollinghillswildlife.com</t>
  </si>
  <si>
    <t>City of the Plains: A Look at Abilene Architecture</t>
  </si>
  <si>
    <t>See the history of Abilene in pictures and how we have changed and stayed the same in some places.</t>
  </si>
  <si>
    <t>Jeffcoat Photography Studio Museum</t>
  </si>
  <si>
    <t>321 N Broadway</t>
  </si>
  <si>
    <t>(785) 263-9882</t>
  </si>
  <si>
    <t>jeffcoatstudio@att.net</t>
  </si>
  <si>
    <t>https://www.facebook.com/jeffcoatstudio</t>
  </si>
  <si>
    <t>Crimes of the Heart</t>
  </si>
  <si>
    <t>Crimes of the Heart, a comedy by Beth Henley.</t>
  </si>
  <si>
    <t>3028 SW 8th Avenue</t>
  </si>
  <si>
    <t>(785) 357-5211</t>
  </si>
  <si>
    <t>www.topekacivictheatre.com</t>
  </si>
  <si>
    <t>Manhattan Arts Exhibit "Unmasking Mental Illness"</t>
  </si>
  <si>
    <t>Opening reception: Sept 9 5-7pm</t>
  </si>
  <si>
    <t>1520 Poyntz Ave</t>
  </si>
  <si>
    <t>Manhattan</t>
  </si>
  <si>
    <t>(785) 537-4420</t>
  </si>
  <si>
    <t>http://www.manhattanarts.org</t>
  </si>
  <si>
    <t>Fiber Art Show</t>
  </si>
  <si>
    <t>Fiber Art Show.</t>
  </si>
  <si>
    <t>123 N. 8th</t>
  </si>
  <si>
    <t>(620) 331-3515</t>
  </si>
  <si>
    <t>www.independencehistoricalmuseum.org</t>
  </si>
  <si>
    <t>Kansans Tell Their Stories Exhibit - Lansing</t>
  </si>
  <si>
    <t>Kansans Tell Their Stories traveling exhibition presented by the Kansas Humanities Council.</t>
  </si>
  <si>
    <t>115 E Kansas Ave</t>
  </si>
  <si>
    <t>Lansing Historical Museum</t>
  </si>
  <si>
    <t>Lansing</t>
  </si>
  <si>
    <t>(913) 250-0203</t>
  </si>
  <si>
    <t>www.lansing.ks.us</t>
  </si>
  <si>
    <t>Quilts of Valor Challenge</t>
  </si>
  <si>
    <t>The 2nd Annual Eisenhower Quilts of Valor Challenge.</t>
  </si>
  <si>
    <t>Eisenhower Presidential Library</t>
  </si>
  <si>
    <t>200 SE Fourth Street</t>
  </si>
  <si>
    <t>Opening Season at Walters Pumpkin Patch</t>
  </si>
  <si>
    <t>Activities during the day for kids of all ages, frightful attractions at night.</t>
  </si>
  <si>
    <t>10001 NW highway 77</t>
  </si>
  <si>
    <t>Burns</t>
  </si>
  <si>
    <t>(316) 320-4150</t>
  </si>
  <si>
    <t>www.walterspumpkinpatch.com</t>
  </si>
  <si>
    <t>Deer Hunting Archery</t>
  </si>
  <si>
    <t>Abilene Outdoor Adventures is accepting reservations for the 2011 Kansas Deer Hunting Season!</t>
  </si>
  <si>
    <t>Abilene Outdoor Adventures</t>
  </si>
  <si>
    <t>3158 Epic Lane</t>
  </si>
  <si>
    <t>(785) 280-2564</t>
  </si>
  <si>
    <t>dave@abilenehunt.com</t>
  </si>
  <si>
    <t>http://www.abilenehunt.com/</t>
  </si>
  <si>
    <t>Financial Literacy Exhibit</t>
  </si>
  <si>
    <t>4400 SW 10th Street</t>
  </si>
  <si>
    <t>(785) 783-8300</t>
  </si>
  <si>
    <t>www.KansasDiscovery.org</t>
  </si>
  <si>
    <t>Manhattan Arts Center Theatre Production "I Ought to be in Pictures"</t>
  </si>
  <si>
    <t>By Neil Simon directed by Brent Sigman</t>
  </si>
  <si>
    <t>www.manhattanarts.org</t>
  </si>
  <si>
    <t>Forbidden Broadway</t>
  </si>
  <si>
    <t>Enjoy some of Broadway's greatest musical legends.</t>
  </si>
  <si>
    <t>1501 New Hampshire</t>
  </si>
  <si>
    <t>Theatre Lawrence</t>
  </si>
  <si>
    <t>(785) 843-7469</t>
  </si>
  <si>
    <t>http://www.theatrelawrence.com/index.htm</t>
  </si>
  <si>
    <t>Pumpkin Hollow</t>
  </si>
  <si>
    <t>Pumpkin patch, wagon rides and more.</t>
  </si>
  <si>
    <t>13800 Switzer Road</t>
  </si>
  <si>
    <t>(913) 897-2360</t>
  </si>
  <si>
    <t>www.artsandrec-op.org/farmstead</t>
  </si>
  <si>
    <t>Gaeddert Martisko Corn Maze &amp; Pumpkin Patch</t>
  </si>
  <si>
    <t>Adventure for kids of all ages at the 4 1/2 acre corn maze, day or night.</t>
  </si>
  <si>
    <t>13209 E 82nd Ave</t>
  </si>
  <si>
    <t>(2 1/2 mi E of Buhler)</t>
  </si>
  <si>
    <t>Buhler</t>
  </si>
  <si>
    <t>(620) 543-3073</t>
  </si>
  <si>
    <t>info@kansasmaze.com</t>
  </si>
  <si>
    <t>www.kansasmaze.com</t>
  </si>
  <si>
    <t>Scarecrows on Parade</t>
  </si>
  <si>
    <t>Scarecrows, scarecrows everywhere! Tour Bonner Springs to enjoy our fall decorations.</t>
  </si>
  <si>
    <t>Hwy 32 &amp; Hwy 7</t>
  </si>
  <si>
    <t>Downtown Bonner Springs</t>
  </si>
  <si>
    <t>Bonner Springs</t>
  </si>
  <si>
    <t>(913) 667-1703</t>
  </si>
  <si>
    <t>(913) 441-8199</t>
  </si>
  <si>
    <t>marciaa@bonnersprings.org</t>
  </si>
  <si>
    <t>www.bonnersprings.org/tourism</t>
  </si>
  <si>
    <t>Look &amp; See at Strecker-Nelson Gallery</t>
  </si>
  <si>
    <t>Come "Look &amp; See".</t>
  </si>
  <si>
    <t>406½ Poyntz</t>
  </si>
  <si>
    <t>(785) 537-2099</t>
  </si>
  <si>
    <t>http://www.strecker-nelsongallery.com</t>
  </si>
  <si>
    <t>Fall Harvest at Pumpkin Paradise, LLC</t>
  </si>
  <si>
    <t>Pumpkin patch, corn maze, catapult, wagon ride, duck races.</t>
  </si>
  <si>
    <t>1855 Road 100</t>
  </si>
  <si>
    <t>Sublette</t>
  </si>
  <si>
    <t>(620) 668-5680</t>
  </si>
  <si>
    <t>Harvest Farm &amp; Pumpkin Patch</t>
  </si>
  <si>
    <t>Fall farm experience with pick-your-own pumpkin patch.</t>
  </si>
  <si>
    <t>31617 W Parallel Rd</t>
  </si>
  <si>
    <t>Turon</t>
  </si>
  <si>
    <t>(620) 497-6715</t>
  </si>
  <si>
    <t>info@harvestfarmks.com</t>
  </si>
  <si>
    <t>www.harvestfarmks.com</t>
  </si>
  <si>
    <t>The Long Pumpkin Patch</t>
  </si>
  <si>
    <t>Long Pumpkin Patch has moved to a new place!</t>
  </si>
  <si>
    <t>Barton County College Road</t>
  </si>
  <si>
    <t>(620) 792-3503</t>
  </si>
  <si>
    <t>rlong@riw2000.com</t>
  </si>
  <si>
    <t>2011 Pumpkin Patch &amp; Corn Maze</t>
  </si>
  <si>
    <t>Pick-your-own pumpkin patch, corn maze, petting zoo &amp; many other activities!</t>
  </si>
  <si>
    <t>2570 W. 5000th Street</t>
  </si>
  <si>
    <t>(620) 330-3031</t>
  </si>
  <si>
    <t>www.indypumpkinpatch.com</t>
  </si>
  <si>
    <t>Peckham's Pumpkin Patch</t>
  </si>
  <si>
    <t>Take a wagon ride to the pick-your-own pumpkin patch. Play in the Fort Wildcat hay maze.</t>
  </si>
  <si>
    <t>2710 Vermont Rd</t>
  </si>
  <si>
    <t>Rantoul</t>
  </si>
  <si>
    <t>(785) 878-3793</t>
  </si>
  <si>
    <t>jharry@pleasantridge.com</t>
  </si>
  <si>
    <t>www.pleasantridge.com</t>
  </si>
  <si>
    <t>Augusta Community Homecoming Fest</t>
  </si>
  <si>
    <t>A celebration of community and schools!</t>
  </si>
  <si>
    <t>112 E 6th Ave</t>
  </si>
  <si>
    <t>Augusta</t>
  </si>
  <si>
    <t>(316) 775-6339</t>
  </si>
  <si>
    <t>(316) 775-1307</t>
  </si>
  <si>
    <t>augustacoc@sbcglobal.net</t>
  </si>
  <si>
    <t>www.chamberofaugusta.org</t>
  </si>
  <si>
    <t>103nd Annual Kincaid Free Fair</t>
  </si>
  <si>
    <t>Celebrating 103 years of unique activities, large carnival and good food.</t>
  </si>
  <si>
    <t>Commercial St and 3rd Ave</t>
  </si>
  <si>
    <t>Kincaid</t>
  </si>
  <si>
    <t>(785) 448-0331</t>
  </si>
  <si>
    <t>tourism@garnettks.net</t>
  </si>
  <si>
    <t>www.andersoncountyks.net</t>
  </si>
  <si>
    <t>Greater Andover Days</t>
  </si>
  <si>
    <t>Greater Andover Days - Shake It Up Andover!</t>
  </si>
  <si>
    <t>1609 E Central Ave</t>
  </si>
  <si>
    <t>Andover</t>
  </si>
  <si>
    <t>(316) 733-1303</t>
  </si>
  <si>
    <t>cityhall@andoverks.com</t>
  </si>
  <si>
    <t>www.andoverks.com</t>
  </si>
  <si>
    <t>Orphan Train</t>
  </si>
  <si>
    <t>Family Children's Theatre production of "Orphan Train."</t>
  </si>
  <si>
    <t>Flag Theatre</t>
  </si>
  <si>
    <t>310 N Main</t>
  </si>
  <si>
    <t>(620) 662-7469</t>
  </si>
  <si>
    <t>cwilliams62@cox.net</t>
  </si>
  <si>
    <t>www.familychildrenstheatre.com</t>
  </si>
  <si>
    <t>CHAMPIONSHIP WEEKEND</t>
  </si>
  <si>
    <t>The best racing of the Season!!</t>
  </si>
  <si>
    <t>(620) 225-1800</t>
  </si>
  <si>
    <t>Dalton Defenders Days</t>
  </si>
  <si>
    <t>Tribute to the townsmen who took up arms against the Dalton Gang.</t>
  </si>
  <si>
    <t>807 Walnut</t>
  </si>
  <si>
    <t>Downtown Coffeyville</t>
  </si>
  <si>
    <t>Coffeyville</t>
  </si>
  <si>
    <t>(620) 251-2550</t>
  </si>
  <si>
    <t>(800) 626-3357</t>
  </si>
  <si>
    <t>awilson@coffeyville.com</t>
  </si>
  <si>
    <t>www.visitcoffeyville.com</t>
  </si>
  <si>
    <t>Farm Heritage Celebration</t>
  </si>
  <si>
    <t>Old-fashioned activities, food &amp; fun for the whole family</t>
  </si>
  <si>
    <t>US 59 &amp; 400</t>
  </si>
  <si>
    <t>Parsons</t>
  </si>
  <si>
    <t>(620) 778-1551</t>
  </si>
  <si>
    <t>www.farmheritagecelebration.com</t>
  </si>
  <si>
    <t>Jammin' in JC Blues &amp; BBQ Festival</t>
  </si>
  <si>
    <t>Blues &amp; BBQ...It's a Winning Combination!</t>
  </si>
  <si>
    <t>Heritage Park</t>
  </si>
  <si>
    <t>6th &amp; Washington St.</t>
  </si>
  <si>
    <t>Junction City</t>
  </si>
  <si>
    <t>(785) 238-2885</t>
  </si>
  <si>
    <t>(800) 528-2489</t>
  </si>
  <si>
    <t>gearycountycvb@junctioncity.org</t>
  </si>
  <si>
    <t>www.jammininjc.com</t>
  </si>
  <si>
    <t>13th Annual Central Kansas Quilt Shop Hop</t>
  </si>
  <si>
    <t>10 Quilt Shops to Hop in Derby, Hutchinson, Newton, Salina, Severy and Wichita...3 days</t>
  </si>
  <si>
    <t>207 Q Road</t>
  </si>
  <si>
    <t>North Side of 400 Hwy</t>
  </si>
  <si>
    <t>Severy</t>
  </si>
  <si>
    <t>(620) 736-2942</t>
  </si>
  <si>
    <t>http://www.centralkansasquiltshophop.4t.com/</t>
  </si>
  <si>
    <t>A multiple county event!</t>
  </si>
  <si>
    <t>120 S. Santa Fe</t>
  </si>
  <si>
    <t>(620) 750-0540</t>
  </si>
  <si>
    <t>mckaren_53@hotmail.com</t>
  </si>
  <si>
    <t>Kansas Ornithological Society Fall Meeting</t>
  </si>
  <si>
    <t>Plan to attend this event at 5:00pm if you are interested in birds, birding, or birding photography.</t>
  </si>
  <si>
    <t>592 NE K-156</t>
  </si>
  <si>
    <t>(877) 243-9268</t>
  </si>
  <si>
    <t>cjwolf@fhsu.edu</t>
  </si>
  <si>
    <t>http://www.ksbirds.org</t>
  </si>
  <si>
    <t>Wheatland Cluster Dog Show</t>
  </si>
  <si>
    <t>Annual Dog Show</t>
  </si>
  <si>
    <t>800 The Midway</t>
  </si>
  <si>
    <t>Salina Bicentennial Center</t>
  </si>
  <si>
    <t>(785) 826-7200</t>
  </si>
  <si>
    <t>www.bicentennial.org</t>
  </si>
  <si>
    <t>Gary's Pumpkin Patch and Fall Festival</t>
  </si>
  <si>
    <t>5991 NE 17th Street</t>
  </si>
  <si>
    <t>Grantville</t>
  </si>
  <si>
    <t>(785) 246-0800</t>
  </si>
  <si>
    <t>gary@garyspumpkinpatch.com</t>
  </si>
  <si>
    <t>www.garyspumpkinpatch.com</t>
  </si>
  <si>
    <t>Country Bumpkin Pumpkin Patch</t>
  </si>
  <si>
    <t>Pumpkin patch fun for the whole family.</t>
  </si>
  <si>
    <t>11858 Hwy 31</t>
  </si>
  <si>
    <t>Harveyville</t>
  </si>
  <si>
    <t>(785) 589-2782</t>
  </si>
  <si>
    <t>2011 Annual Pomona Fall Festival &amp; Car Show</t>
  </si>
  <si>
    <t>Pomona Fall Festival with fall festivities.</t>
  </si>
  <si>
    <t>Pomona</t>
  </si>
  <si>
    <t>(785) 566-3337</t>
  </si>
  <si>
    <t>2011 Ol' Marais Chili Cook Off</t>
  </si>
  <si>
    <t>Annual start to the Pleasant Ridge Season.</t>
  </si>
  <si>
    <t>(785) 296-6745</t>
  </si>
  <si>
    <t>Art in the Park</t>
  </si>
  <si>
    <t>Annual juried art festival</t>
  </si>
  <si>
    <t>Island Park</t>
  </si>
  <si>
    <t>North Main</t>
  </si>
  <si>
    <t>Winfield</t>
  </si>
  <si>
    <t>(620) 221-2161</t>
  </si>
  <si>
    <t>Beaux Arts Ball</t>
  </si>
  <si>
    <t>The Black Tie Event of the Season.</t>
  </si>
  <si>
    <t>800 W Frontview</t>
  </si>
  <si>
    <t>Knights of Columbus Hall</t>
  </si>
  <si>
    <t>(620) 225-6388</t>
  </si>
  <si>
    <t>carnegie@dodgecityarts.org</t>
  </si>
  <si>
    <t>www.dodgecityarts.org/</t>
  </si>
  <si>
    <t>Bluegrass &amp; BBQ</t>
  </si>
  <si>
    <t>Bluegrass bands and yummy BBQ. 5:30 - 9:30 or until the food is gone. Free hayrides.</t>
  </si>
  <si>
    <t>718 High Street</t>
  </si>
  <si>
    <t>P.O. Box 523</t>
  </si>
  <si>
    <t>Baldwin City</t>
  </si>
  <si>
    <t>(785) 594-3861</t>
  </si>
  <si>
    <t>info@lumberyardartscenter.org</t>
  </si>
  <si>
    <t>www.lumberyardartscenter.org</t>
  </si>
  <si>
    <t>Boy Scouts of Amer Coronado Area Council Fishing Tournament</t>
  </si>
  <si>
    <t>Fishing Tourn - 4 - 4pm October</t>
  </si>
  <si>
    <t>Hell Creek Boat Ramp</t>
  </si>
  <si>
    <t>Wilson</t>
  </si>
  <si>
    <t>(316) 641-6899</t>
  </si>
  <si>
    <t>Burnin' Down Main Cook-Off</t>
  </si>
  <si>
    <t>Competition, live entertainment and concessions</t>
  </si>
  <si>
    <t>Main Street</t>
  </si>
  <si>
    <t>McPherson</t>
  </si>
  <si>
    <t>(620) 241-7430</t>
  </si>
  <si>
    <t>(620) 241-8708</t>
  </si>
  <si>
    <t>mainst@mcphersonks.org</t>
  </si>
  <si>
    <t>www.mcphersonks.org</t>
  </si>
  <si>
    <t>Chisholm Trail Day Festival - KS 150</t>
  </si>
  <si>
    <t>Dust off the hats and boots and come celebrate the rich heritage of Dickinson County.</t>
  </si>
  <si>
    <t>The Heritage Center</t>
  </si>
  <si>
    <t>412 S Campbell</t>
  </si>
  <si>
    <t>(785) 263-2681</t>
  </si>
  <si>
    <t>heritagecenterjs@sbcglobal.net</t>
  </si>
  <si>
    <t>www.heritagecenterdk.com</t>
  </si>
  <si>
    <t>Cookees Drive-In General Pleasonton Days Car Show</t>
  </si>
  <si>
    <t>Cookees Drive-In Car Show! Oct 1st 2PM-6PM. Cars, trucks, bikes Info at www.cookeesdrivein.com</t>
  </si>
  <si>
    <t>102 E. 12th St.</t>
  </si>
  <si>
    <t>Pleasanton</t>
  </si>
  <si>
    <t>(816) 564-5961</t>
  </si>
  <si>
    <t>contact@cookeesdrivein.com</t>
  </si>
  <si>
    <t>WWW.COOKEESDRIVEIN.COM</t>
  </si>
  <si>
    <t>Czech Mates-John Strickler, Conductor</t>
  </si>
  <si>
    <t>Czech Mates</t>
  </si>
  <si>
    <t>1700 SW Jewell</t>
  </si>
  <si>
    <t>White Concert Hall</t>
  </si>
  <si>
    <t>(785) 232-2032</t>
  </si>
  <si>
    <t>www.topekasymphony.org</t>
  </si>
  <si>
    <t>Fall Fest</t>
  </si>
  <si>
    <t>Celebrate Fall in downtown Ulysses with vendors, car show, safety fest, food and entertainment.</t>
  </si>
  <si>
    <t>113B South Main Street</t>
  </si>
  <si>
    <t>Ulysses</t>
  </si>
  <si>
    <t>(620) 356-4700</t>
  </si>
  <si>
    <t>(620) 424-2437</t>
  </si>
  <si>
    <t>gcccdir@pld.com</t>
  </si>
  <si>
    <t>www.ulysseschamber.org</t>
  </si>
  <si>
    <t>Fall into the Holidaze Craft and Antique Show</t>
  </si>
  <si>
    <t>Get a jump on your holiday shopping and decorating!</t>
  </si>
  <si>
    <t>1105 W 9th</t>
  </si>
  <si>
    <t>(620) 221-2078</t>
  </si>
  <si>
    <t>Glasco Fun Day</t>
  </si>
  <si>
    <t>Bring the whole family to this fun packed festival celebrating Glasco's heritage.</t>
  </si>
  <si>
    <t>Fisher and First Street</t>
  </si>
  <si>
    <t>City Park</t>
  </si>
  <si>
    <t>Glasco</t>
  </si>
  <si>
    <t>(785) 243-4303</t>
  </si>
  <si>
    <t>Glasco's Fun Day</t>
  </si>
  <si>
    <t>Festival celebrating historic heritage and present community.</t>
  </si>
  <si>
    <t>Fisher and 1st St</t>
  </si>
  <si>
    <t>(785) 568-2359</t>
  </si>
  <si>
    <t>Goessel Harvest Festival</t>
  </si>
  <si>
    <t>Goessel Harvest Festival &amp; Street Dance</t>
  </si>
  <si>
    <t>Cedar and East Main Street</t>
  </si>
  <si>
    <t>Goessel</t>
  </si>
  <si>
    <t>(620) 367-8111</t>
  </si>
  <si>
    <t>(620) 367-2774</t>
  </si>
  <si>
    <t>goescity@mtelco.net</t>
  </si>
  <si>
    <t>www.goesselks.com</t>
  </si>
  <si>
    <t>Harvest Showcase &amp; Dinner</t>
  </si>
  <si>
    <t>Dutch Mill Sweet Adelines Concert, Art Show &amp; Dinner.</t>
  </si>
  <si>
    <t>126 S. Kansas</t>
  </si>
  <si>
    <t>Weaver Hotel</t>
  </si>
  <si>
    <t>Waterville</t>
  </si>
  <si>
    <t>(785) 363-2515</t>
  </si>
  <si>
    <t>Harvey County United Way Chili Cook-off</t>
  </si>
  <si>
    <t>A Chili cook-off.</t>
  </si>
  <si>
    <t>6th &amp; Main</t>
  </si>
  <si>
    <t>Newton</t>
  </si>
  <si>
    <t>(316) 283-7555</t>
  </si>
  <si>
    <t>jennifer@thenewtonchamber.org</t>
  </si>
  <si>
    <t>Impact the Cure 5K Run &amp; 2 Mile Walk</t>
  </si>
  <si>
    <t>The Impact the Cure Breast Cancer Awareness Walk/Run.</t>
  </si>
  <si>
    <t>Impact Sports &amp; Fitness</t>
  </si>
  <si>
    <t>418 N Broadway</t>
  </si>
  <si>
    <t>(785) 263-3888</t>
  </si>
  <si>
    <t>abrussow@mhsks.org</t>
  </si>
  <si>
    <t>http://www.mhsks.org/impactthecure.cfm</t>
  </si>
  <si>
    <t>John McNally</t>
  </si>
  <si>
    <t>John McNally, Blues from Lawrence, KS.</t>
  </si>
  <si>
    <t>420 SE 6th Avenue</t>
  </si>
  <si>
    <t>Lower level of the Ramada</t>
  </si>
  <si>
    <t>(785) 234-4317</t>
  </si>
  <si>
    <t>www.unclebos.com</t>
  </si>
  <si>
    <t>Joyful Noise - a Music and Prairie Family Camp</t>
  </si>
  <si>
    <t>Joyful Noise – a Music and Prairie Family Camp</t>
  </si>
  <si>
    <t>1101 Camp Wood Rd</t>
  </si>
  <si>
    <t>Elmdale</t>
  </si>
  <si>
    <t>(620) 273-8641</t>
  </si>
  <si>
    <t>YMCA@campwood.org</t>
  </si>
  <si>
    <t>www.joyfulnoisecamp.org</t>
  </si>
  <si>
    <t>K-State Football</t>
  </si>
  <si>
    <t>Come cheer on the Wildcats!</t>
  </si>
  <si>
    <t>1800 College Ave</t>
  </si>
  <si>
    <t>Bill Snyder Family Stadium</t>
  </si>
  <si>
    <t>(785) 532-7606</t>
  </si>
  <si>
    <t>(800) 221-2287</t>
  </si>
  <si>
    <t>tickets@kstatesports.com</t>
  </si>
  <si>
    <t>http://www.kstatesports.com/sports/m-footbl/ksu-m-footbl-body.html</t>
  </si>
  <si>
    <t>Lonnie Ray</t>
  </si>
  <si>
    <t>124 SW 8th Avenue</t>
  </si>
  <si>
    <t>(785) 354-9380</t>
  </si>
  <si>
    <t>www.drinkattheoffice.com</t>
  </si>
  <si>
    <t>Oktoberfest Arts &amp; Crafts Festival</t>
  </si>
  <si>
    <t>Arts and crafts festival with food and entertainment along the downtown pedestrian plaza.</t>
  </si>
  <si>
    <t>400-700 Commercial St</t>
  </si>
  <si>
    <t>Railroads in Kansas with William S. Worley</t>
  </si>
  <si>
    <t>Statehood Speakers Bureau program presented by the Kansas Humanities Council</t>
  </si>
  <si>
    <t>110 W Main</t>
  </si>
  <si>
    <t>Dane G. Hansen Memorial Museum</t>
  </si>
  <si>
    <t>Logan</t>
  </si>
  <si>
    <t>67646-0187</t>
  </si>
  <si>
    <t>(785) 689-4846</t>
  </si>
  <si>
    <t>info@kansashumanities.org</t>
  </si>
  <si>
    <t>www.kansashumanities.org</t>
  </si>
  <si>
    <t>Scarecrow Festival</t>
  </si>
  <si>
    <t>Celebrate the autumn season.</t>
  </si>
  <si>
    <t>11110 Johnson Dr</t>
  </si>
  <si>
    <t>City Hall</t>
  </si>
  <si>
    <t>(913) 631-2500</t>
  </si>
  <si>
    <t>www.GoodStartsHere.com</t>
  </si>
  <si>
    <t>Yesteryear Fair</t>
  </si>
  <si>
    <t>Experience a day in the life of C.N. James. Blacksmithing, wood carving and more.</t>
  </si>
  <si>
    <t>303 State St</t>
  </si>
  <si>
    <t>Augusta Historical Museum</t>
  </si>
  <si>
    <t>(316) 775-5565</t>
  </si>
  <si>
    <t>rachelle@augustahistoricalsociety.com</t>
  </si>
  <si>
    <t>www.augustahistoricalsociety.net.com</t>
  </si>
  <si>
    <t>#3415 Steam Engine Running</t>
  </si>
  <si>
    <t>Abilene &amp; Smoky Valley Railroad</t>
  </si>
  <si>
    <t>200 SE Fifth</t>
  </si>
  <si>
    <t>(785) 263-1077</t>
  </si>
  <si>
    <t>(888) 426-6687</t>
  </si>
  <si>
    <t>asvrail@gmail.com</t>
  </si>
  <si>
    <t>www.asvrr.org</t>
  </si>
  <si>
    <t>Arts for Kids</t>
  </si>
  <si>
    <t>Nature-themed activities and crafts for kids.</t>
  </si>
  <si>
    <t>8909 W. 179th Street</t>
  </si>
  <si>
    <t>www.opabg.org</t>
  </si>
  <si>
    <t>Buckner Fall Festival</t>
  </si>
  <si>
    <t>Something for Everyone at Buckner Fall Festival! Family Fun Events for children and adults alike.</t>
  </si>
  <si>
    <t>203 N West Street</t>
  </si>
  <si>
    <t>Elk Plaza (old High School)</t>
  </si>
  <si>
    <t>Hanston</t>
  </si>
  <si>
    <t>(620) 357-8831</t>
  </si>
  <si>
    <t>(620) 357-8323</t>
  </si>
  <si>
    <t>hodgeman1@fairpoint.net</t>
  </si>
  <si>
    <t>www.hodgemancountyks.com</t>
  </si>
  <si>
    <t>Kaw Valley Farm Tour 2011</t>
  </si>
  <si>
    <t>Explore area farms.</t>
  </si>
  <si>
    <t>Throughtout the Kaw River Valley</t>
  </si>
  <si>
    <t>(785) 843-1409</t>
  </si>
  <si>
    <t>Model Train Show</t>
  </si>
  <si>
    <t>Annual model train show with operating scale layouts.</t>
  </si>
  <si>
    <t>819 Commercial St</t>
  </si>
  <si>
    <t>(913) 367-7536</t>
  </si>
  <si>
    <t>bnowick@lvnworth.com</t>
  </si>
  <si>
    <t>OZtoberFest 2010</t>
  </si>
  <si>
    <t>OZtoberFest celebrates all things Oz annually the first weekend of October.</t>
  </si>
  <si>
    <t>511 Lincoln Avenue</t>
  </si>
  <si>
    <t>Wamego</t>
  </si>
  <si>
    <t>(785) 458-8686</t>
  </si>
  <si>
    <t>ozmuseum@wamego.net</t>
  </si>
  <si>
    <t>www.oztoberfest.com</t>
  </si>
  <si>
    <t>Pickin' at the Patch with Ed Parrish</t>
  </si>
  <si>
    <t>Music and Magic at Walter's Pumpkin Patch!</t>
  </si>
  <si>
    <t>10001 NW 77 Highway</t>
  </si>
  <si>
    <t>Wicked Wheels Car Show</t>
  </si>
  <si>
    <t>Wicked Wheels Car Show, Saturday, October 2--10am to 3pm</t>
  </si>
  <si>
    <t>500 Lincoln Avenue</t>
  </si>
  <si>
    <t>vivian@columbiantheatre.com</t>
  </si>
  <si>
    <t>SRCA Drag Races</t>
  </si>
  <si>
    <t>455 West Barton County Road</t>
  </si>
  <si>
    <t>Expo Grounds at The Great Bend Airport</t>
  </si>
  <si>
    <t>(620) 792-5079</t>
  </si>
  <si>
    <t>srcadragstrip@cox.net</t>
  </si>
  <si>
    <t>http://srcadragstrip.com</t>
  </si>
  <si>
    <t>Kerby Farm Pumpkin Patch and Corn Maze</t>
  </si>
  <si>
    <t>Enjoy family fun on the farm - hayrides, maze, pumpkins, spook house, slide and much more.</t>
  </si>
  <si>
    <t>15943 S 158th St</t>
  </si>
  <si>
    <t>(913) 441-1766</t>
  </si>
  <si>
    <t>kerby158@netzero.net</t>
  </si>
  <si>
    <t>www.kerbypumpkinpatch.com</t>
  </si>
  <si>
    <t>Franklin County Harvest Days</t>
  </si>
  <si>
    <t>Visit an orchard &amp; pumpkin patch near Ottawa. Local Farmer's Market.</t>
  </si>
  <si>
    <t>2011 E Logan</t>
  </si>
  <si>
    <t>PO Box 203</t>
  </si>
  <si>
    <t>(785) 242-2238</t>
  </si>
  <si>
    <t>Munson Angus Farms Pumpkin Patch</t>
  </si>
  <si>
    <t>Stop by this October &amp; see our pumpkin patch. Fun for the whole family. Call for more info...</t>
  </si>
  <si>
    <t>4820 Liberty Hall Rd</t>
  </si>
  <si>
    <t>(785) 238-8068</t>
  </si>
  <si>
    <t>cmun@jc.net</t>
  </si>
  <si>
    <t>www.munsonangusfarms.com</t>
  </si>
  <si>
    <t>Schaake's Pumpkin Patch</t>
  </si>
  <si>
    <t>Pick out your own pumpkin for Halloween.</t>
  </si>
  <si>
    <t>1791 N 1500 Rd</t>
  </si>
  <si>
    <t>(785) 843-2459</t>
  </si>
  <si>
    <t>Sunny Side Pumpkin Patch &amp; Charlotte's Web Maze</t>
  </si>
  <si>
    <t>Autumn Fun!</t>
  </si>
  <si>
    <t>11500 S. Hopkins Road</t>
  </si>
  <si>
    <t>Sunny Side Pumpkin Patch</t>
  </si>
  <si>
    <t>(785) 667-4668</t>
  </si>
  <si>
    <t>http://www.sunnysidepatch.com</t>
  </si>
  <si>
    <t>The Eclectic Eye: Selections of Pop and Illusion</t>
  </si>
  <si>
    <t>The Eclectic Eye: Selections of Pop and Illusion.</t>
  </si>
  <si>
    <t>17th &amp; Jewell Streets</t>
  </si>
  <si>
    <t>(785) 670-1124</t>
  </si>
  <si>
    <t>www.washburn.edu/mulvane</t>
  </si>
  <si>
    <t>32nd Annual Apple Festival</t>
  </si>
  <si>
    <t>32nd Annual Apple Festival.</t>
  </si>
  <si>
    <t>124 NW Fillmore</t>
  </si>
  <si>
    <t>Old Prairie Town at Ward-Meade Historic Site</t>
  </si>
  <si>
    <t>(785) 368-2437</t>
  </si>
  <si>
    <t>JBell@topeka.org</t>
  </si>
  <si>
    <t>Atchison County Hand Corn Shucking Contest</t>
  </si>
  <si>
    <t>Hand Corn Shucking Contest</t>
  </si>
  <si>
    <t>(913) 367-1502</t>
  </si>
  <si>
    <t>Endangered Journey: Monarch Migrations Juried Exhibition</t>
  </si>
  <si>
    <t>Come and enjoy the beauty of butterflies!</t>
  </si>
  <si>
    <t>245 NE 30 Rd</t>
  </si>
  <si>
    <t>Shafer Art Gallery</t>
  </si>
  <si>
    <t>(620) 792-9342</t>
  </si>
  <si>
    <t>barnesd@bartonccc.edu</t>
  </si>
  <si>
    <t>Monarchwings Butterfly Festival</t>
  </si>
  <si>
    <t>Come celebrate the migration of butterflies.</t>
  </si>
  <si>
    <t>245 NE 30th Road</t>
  </si>
  <si>
    <t>Shafer Memorial Art Gallery at Barton County Community College</t>
  </si>
  <si>
    <t>Munson Angus Farms Pumpkin Patch &amp; Corn Maze</t>
  </si>
  <si>
    <t>Again this year, Munson Angus Farms planted a pumpkin patch and they are growing!</t>
  </si>
  <si>
    <t>Munson Angus Farms</t>
  </si>
  <si>
    <t>4820 Liberty Hall Rd.</t>
  </si>
  <si>
    <t>The Pawnee Tribe in Kansas with Chris Howell</t>
  </si>
  <si>
    <t>A Statehood Speakers Bureau event presented by the Kansas Humanities Council.</t>
  </si>
  <si>
    <t>311 S 17th St</t>
  </si>
  <si>
    <t>Parsons Public Library</t>
  </si>
  <si>
    <t>(620) 421-5920</t>
  </si>
  <si>
    <t>http://parsons.mykansaslibrary.org/</t>
  </si>
  <si>
    <t>Waterlily by Ella Cara Deloria with Denise Low</t>
  </si>
  <si>
    <t>Part of the "Before the Civil War" TALK book discussion series from the Kansas Humanities Council.</t>
  </si>
  <si>
    <t>829 Main St</t>
  </si>
  <si>
    <t>Council Grove Public Library</t>
  </si>
  <si>
    <t>Council Grove</t>
  </si>
  <si>
    <t>(620) 767-5716</t>
  </si>
  <si>
    <t>KSU Men's Golf</t>
  </si>
  <si>
    <t>Come out and watch the Men's Golf team</t>
  </si>
  <si>
    <t>5200 Colbert Hills</t>
  </si>
  <si>
    <t>(785) 776-6475</t>
  </si>
  <si>
    <t>(877) 916-4653</t>
  </si>
  <si>
    <t>http://www.colberthills.com</t>
  </si>
  <si>
    <t>Agent of Change Film Series-"October Sky"</t>
  </si>
  <si>
    <t>Eisenhower Presidential Library &amp; Museum</t>
  </si>
  <si>
    <t>www.eisehower.archives.gov</t>
  </si>
  <si>
    <t>"Our Town" - Cowley College Fall Play</t>
  </si>
  <si>
    <t>Annual fall production.</t>
  </si>
  <si>
    <t>Cowley College - Brown Theatre</t>
  </si>
  <si>
    <t>225 S. 2nd St.</t>
  </si>
  <si>
    <t>(620) 442-0430</t>
  </si>
  <si>
    <t>www.cowley.edu</t>
  </si>
  <si>
    <t>Return Cattle Drive from Medicine Lodge</t>
  </si>
  <si>
    <t>Mount up and experience cowboy lifestyle firsthand. Drive longhorn cattle to winter pasture.</t>
  </si>
  <si>
    <t>2933 CR E</t>
  </si>
  <si>
    <t>Moore Ranch</t>
  </si>
  <si>
    <t>Bucklin</t>
  </si>
  <si>
    <t>(620) 826-3649</t>
  </si>
  <si>
    <t>info@moorelonghornranch.com</t>
  </si>
  <si>
    <t>www.moorelonghornranch.com</t>
  </si>
  <si>
    <t>Gordon Parks Celebration of Culture and Diversity</t>
  </si>
  <si>
    <t>A celebration of the life, achievements and artistic creativity of Fort Scott native Gordon Parks.</t>
  </si>
  <si>
    <t>2108 S Horton St</t>
  </si>
  <si>
    <t>Fort Scott Community College</t>
  </si>
  <si>
    <t>Fort Scott</t>
  </si>
  <si>
    <t>(620) 223-2700</t>
  </si>
  <si>
    <t>(800) 874-3722</t>
  </si>
  <si>
    <t>jillw@fortscott.edu</t>
  </si>
  <si>
    <t>www.gordonparkscenter.org</t>
  </si>
  <si>
    <t>Boz Scaggs and Michael McDonald</t>
  </si>
  <si>
    <t>Grammy Award winning musicians Michael Mcdonald and Boz Scaggs will perform at Hartman Arena!</t>
  </si>
  <si>
    <t>8151 N. Hartman Arena Drive</t>
  </si>
  <si>
    <t>Hartman Arena</t>
  </si>
  <si>
    <t>Park City</t>
  </si>
  <si>
    <t>(316) 927-3999</t>
  </si>
  <si>
    <t>www.hartmanarena.com</t>
  </si>
  <si>
    <t>Miranda Lambert</t>
  </si>
  <si>
    <t>Landon Arena</t>
  </si>
  <si>
    <t>One Expocentre Drive</t>
  </si>
  <si>
    <t>(785) 297-1000</t>
  </si>
  <si>
    <t>(800) 745-3000</t>
  </si>
  <si>
    <t>www.ksexpo.com</t>
  </si>
  <si>
    <t>Taste Of Newton</t>
  </si>
  <si>
    <t>Kick-off event to Bethel College Fall Festival with over 70 food vendors and entertainment.</t>
  </si>
  <si>
    <t>500 N Main, Suite 101</t>
  </si>
  <si>
    <t>(316) 283-2560</t>
  </si>
  <si>
    <t>(800) 868-2560</t>
  </si>
  <si>
    <t>(316) 283-8732</t>
  </si>
  <si>
    <t>www.thenewtonchamber.org</t>
  </si>
  <si>
    <t>We Came As Romans</t>
  </si>
  <si>
    <t>With special guests Miss May I, Of Mice and Men, Texas in July and Close to Home.</t>
  </si>
  <si>
    <t>11120 W. Kellogg</t>
  </si>
  <si>
    <t>The Cotillion</t>
  </si>
  <si>
    <t>(316) 722-4201</t>
  </si>
  <si>
    <t>www.thecotillion.com</t>
  </si>
  <si>
    <t>Don't Talk To The Actors</t>
  </si>
  <si>
    <t>Great Bend Community Theatre Presentation</t>
  </si>
  <si>
    <t>1905 Lakin Avenue</t>
  </si>
  <si>
    <t>Great Bend Crest Theatre</t>
  </si>
  <si>
    <t>(620) 792-4228</t>
  </si>
  <si>
    <t>gbct.crest@gmail.com</t>
  </si>
  <si>
    <t>http://www.gbct.net/home2.html</t>
  </si>
  <si>
    <t>1964 ... The Tribute</t>
  </si>
  <si>
    <t>1964 ... The Tribute to re-enact early 1960s Fab Four concert.</t>
  </si>
  <si>
    <t>214 SE 8th Avenue</t>
  </si>
  <si>
    <t>(785) 234-2787</t>
  </si>
  <si>
    <t>www.tpactix.org</t>
  </si>
  <si>
    <t>Final Fridays</t>
  </si>
  <si>
    <t>Celebration of Art in Downtown Lawrence.</t>
  </si>
  <si>
    <t>Downtown Lawrence</t>
  </si>
  <si>
    <t>Massachusetts St</t>
  </si>
  <si>
    <t>(785) 842-3883</t>
  </si>
  <si>
    <t>http://www.visitlawrence.com/sites/default/files/FF%20Map2.pdf</t>
  </si>
  <si>
    <t>Harvest of Progress: Education Day</t>
  </si>
  <si>
    <t>A Kansas Sesquicentennial event!</t>
  </si>
  <si>
    <t>1865 Museum Blvd.</t>
  </si>
  <si>
    <t>(316) 219-1871</t>
  </si>
  <si>
    <t>www.oldcowtown.org</t>
  </si>
  <si>
    <t>Kansans Paint Kansas</t>
  </si>
  <si>
    <t>5331 SW 22nd Place</t>
  </si>
  <si>
    <t>Fairlawn Shopping Center</t>
  </si>
  <si>
    <t>(785) 273-7646</t>
  </si>
  <si>
    <t>www.TopekaArtGuild.org</t>
  </si>
  <si>
    <t>Oktoberfest Celebration</t>
  </si>
  <si>
    <t>Join us for the German American Club's 9th Annual Oktoberfest celebration!</t>
  </si>
  <si>
    <t>13817 Johnson Dr</t>
  </si>
  <si>
    <t>Shawnee Civic Centre</t>
  </si>
  <si>
    <t>(913) 631-5200</t>
  </si>
  <si>
    <t>2011 Volga German Society Oktoberfest/FHSU Homecoming</t>
  </si>
  <si>
    <t>Celebration of the Volga German Heritage of Ellis County.</t>
  </si>
  <si>
    <t>South Main</t>
  </si>
  <si>
    <t>Frontier Park</t>
  </si>
  <si>
    <t>Hays</t>
  </si>
  <si>
    <t>(785) 628-4430</t>
  </si>
  <si>
    <t>(800) 569-4505</t>
  </si>
  <si>
    <t>(785) 628-1471</t>
  </si>
  <si>
    <t>hayscc@discoverhays.com</t>
  </si>
  <si>
    <t>http://goforthaysstate.com</t>
  </si>
  <si>
    <t>De Soto Blues &amp; BBQ Festival</t>
  </si>
  <si>
    <t>Blues bands, KCBS sanctioned BBQ contest, food and beer vendors.</t>
  </si>
  <si>
    <t>33630 W 79th Street</t>
  </si>
  <si>
    <t>De Soto Riverfest Park</t>
  </si>
  <si>
    <t>De Soto</t>
  </si>
  <si>
    <t>(913) 583-1585</t>
  </si>
  <si>
    <t>(913) 583-3553</t>
  </si>
  <si>
    <t>sritter@desotoks.org</t>
  </si>
  <si>
    <t>www.desotoks.org</t>
  </si>
  <si>
    <t>Fall Antique Show and Sale</t>
  </si>
  <si>
    <t>Bi-annual Pilots Club Antique Show and Sale.</t>
  </si>
  <si>
    <t>Douglas County Fairgrounds</t>
  </si>
  <si>
    <t>2120 Harper</t>
  </si>
  <si>
    <t>(785) 843-6219</t>
  </si>
  <si>
    <t>Garnett 150th Celebration Days</t>
  </si>
  <si>
    <t>City of Garnett hosts a variety of activities celebrating its 150th year of incorporation.</t>
  </si>
  <si>
    <t>400 S. Oak St.</t>
  </si>
  <si>
    <t>Garnett</t>
  </si>
  <si>
    <t>(785) 448-5496</t>
  </si>
  <si>
    <t>www.experiencegarnettks.com</t>
  </si>
  <si>
    <t>KS150 QuiltFest</t>
  </si>
  <si>
    <t>Celebrate KS150 with 150 quilts at the Quiltfest!</t>
  </si>
  <si>
    <t>130 E. 6th</t>
  </si>
  <si>
    <t>Concordia</t>
  </si>
  <si>
    <t>info@kansasquiltfest.com</t>
  </si>
  <si>
    <t>www.kansasquiltfest.com</t>
  </si>
  <si>
    <t>Laughing Matters</t>
  </si>
  <si>
    <t>Murder Mystery Dinners</t>
  </si>
  <si>
    <t>Come solve a mystery!</t>
  </si>
  <si>
    <t>212 W. Golf Link Road</t>
  </si>
  <si>
    <t>Smoky Hill Vineyards &amp; Winery</t>
  </si>
  <si>
    <t>(785) 825-2515</t>
  </si>
  <si>
    <t>(866) 225-2515</t>
  </si>
  <si>
    <t>jen@kansaswine.com</t>
  </si>
  <si>
    <t>http://www.kansaswine.com</t>
  </si>
  <si>
    <t>Smoke on the Water</t>
  </si>
  <si>
    <t>3435 SE East Edge Road</t>
  </si>
  <si>
    <t>(785) 291-2612</t>
  </si>
  <si>
    <t>Topeka Roadrunners vs. Wichita Falls Wildcats</t>
  </si>
  <si>
    <t>Columbus Day &amp; 4th Annual 300 FITASC Classic</t>
  </si>
  <si>
    <t>Fall clay shoot with several shooting opportunities.</t>
  </si>
  <si>
    <t>1329 NW 100th</t>
  </si>
  <si>
    <t>Columbus</t>
  </si>
  <si>
    <t>(620) 597-2568</t>
  </si>
  <si>
    <t>shoot@claythorne.com</t>
  </si>
  <si>
    <t>www.claythorne.com</t>
  </si>
  <si>
    <t>Columbus Hot Air Balloon Regatta</t>
  </si>
  <si>
    <t>Enjoy these massive hot air balloons up close. See what makes them work.</t>
  </si>
  <si>
    <t>320 E Maple</t>
  </si>
  <si>
    <t>(620) 429-1492</t>
  </si>
  <si>
    <t>columbuschamber@columbus-ks.com</t>
  </si>
  <si>
    <t>www.columbusdayballoons.com</t>
  </si>
  <si>
    <t>Mountain Man Rendezvous</t>
  </si>
  <si>
    <t>Living history of the mountain men and traders of the early 1800s.</t>
  </si>
  <si>
    <t>2565 Pueblo Rd</t>
  </si>
  <si>
    <t>Maxwell Wildlife Refuge</t>
  </si>
  <si>
    <t>Canton</t>
  </si>
  <si>
    <t>(620) 628-4455</t>
  </si>
  <si>
    <t>maxwell@kitusa.com</t>
  </si>
  <si>
    <t>www.cyberkraft.com/maxwell</t>
  </si>
  <si>
    <t>The Witches</t>
  </si>
  <si>
    <t>A Salute to the Sun</t>
  </si>
  <si>
    <t>3121 SW Huntoon</t>
  </si>
  <si>
    <t>(785) 234-4254</t>
  </si>
  <si>
    <t>www.collectiveartgallery.com</t>
  </si>
  <si>
    <t>From Mexico to America: Through the Eyes of Kansas Artists</t>
  </si>
  <si>
    <t>From Mexico to America: Through the Eyes of Kansas Artists.</t>
  </si>
  <si>
    <t>1515 SE Monroe Street</t>
  </si>
  <si>
    <t>(785) 354-4273</t>
  </si>
  <si>
    <t>www.nps.gov/brvb</t>
  </si>
  <si>
    <t>Abilene &amp; Smoky Valley - Dinner Train</t>
  </si>
  <si>
    <t>Chicken Dinner catered by Brookville Hotel</t>
  </si>
  <si>
    <t>Abilene &amp; Smoky Valley Railroad Depot</t>
  </si>
  <si>
    <t>200 SE Fifth Street</t>
  </si>
  <si>
    <t>Autumn in the Grove</t>
  </si>
  <si>
    <t>Festival with a variety of fall favorites.</t>
  </si>
  <si>
    <t>E Gilman Rd and Hwy 7</t>
  </si>
  <si>
    <t>Kelly Grove Park</t>
  </si>
  <si>
    <t>(913) 727-5488</t>
  </si>
  <si>
    <t>(913) 351-3618</t>
  </si>
  <si>
    <t>holler@lansing.ks.us</t>
  </si>
  <si>
    <t>Bethel College Fall Fest</t>
  </si>
  <si>
    <t>Annual festival celebrating college and community with ethnic foods and activities.</t>
  </si>
  <si>
    <t>300 E 27th</t>
  </si>
  <si>
    <t>Bethel College</t>
  </si>
  <si>
    <t>North Newton</t>
  </si>
  <si>
    <t>(316) 284-5251</t>
  </si>
  <si>
    <t>dlin@bethelks.edu</t>
  </si>
  <si>
    <t>Candlelight Tour</t>
  </si>
  <si>
    <t>Entertaining evening with vignettes from Fort Larned's history.FREE ADMISSION.</t>
  </si>
  <si>
    <t>1767 KS Highway 156</t>
  </si>
  <si>
    <t>Ft. Larned National Historic Site</t>
  </si>
  <si>
    <t>Larned</t>
  </si>
  <si>
    <t>(620) 285-6911</t>
  </si>
  <si>
    <t>fols_superintendent@nps.gov</t>
  </si>
  <si>
    <t>www.nps.gov/fols</t>
  </si>
  <si>
    <t>Civil War Heritage Day, Pancake Feed &amp; Retiree Briefing</t>
  </si>
  <si>
    <t>6700 SW Topeka Blvd</t>
  </si>
  <si>
    <t>Forbes Field</t>
  </si>
  <si>
    <t>(785) 862-1020</t>
  </si>
  <si>
    <t>kngmuseum@aol.com</t>
  </si>
  <si>
    <t>Columbus Day Festival</t>
  </si>
  <si>
    <t>Fall festival with something for all ages, including hot air balloons.</t>
  </si>
  <si>
    <t>Downtown Square</t>
  </si>
  <si>
    <t>Coronado Heights Run</t>
  </si>
  <si>
    <t>15k run, 5k run, 2 mile walk and 1 mile youth fun run.</t>
  </si>
  <si>
    <t>121 S. Main Street</t>
  </si>
  <si>
    <t>Lindsborg</t>
  </si>
  <si>
    <t>(785) 227-8687</t>
  </si>
  <si>
    <t>(888) 227-2227</t>
  </si>
  <si>
    <t>cvbdir@lindsborgcity.org</t>
  </si>
  <si>
    <t>www.visitlindsborg.com</t>
  </si>
  <si>
    <t>Fall Fest/Chili Cook-off</t>
  </si>
  <si>
    <t>Fun for the whole family! Sample the chili, pick up original crafts, enjoy the music!</t>
  </si>
  <si>
    <t>400 New York</t>
  </si>
  <si>
    <t>Holton</t>
  </si>
  <si>
    <t>(785) 364-3963</t>
  </si>
  <si>
    <t>chamber@holtonks.net</t>
  </si>
  <si>
    <t>Harvest of Progress: A County Fair</t>
  </si>
  <si>
    <t>Haymarket Flea Market</t>
  </si>
  <si>
    <t>Flea market in historic downtown Leavenworth's Haymarket Square.</t>
  </si>
  <si>
    <t>7th and Cherokee Sts</t>
  </si>
  <si>
    <t>Leavenworth</t>
  </si>
  <si>
    <t>(913) 651-5273</t>
  </si>
  <si>
    <t>stevies@hughes.net</t>
  </si>
  <si>
    <t>www.leavenworthmainstreet.com</t>
  </si>
  <si>
    <t>Cheer on the Wildcats!</t>
  </si>
  <si>
    <t>Kansas 150 Festival</t>
  </si>
  <si>
    <t>The Kansas 150 Festival: The Sunflower State's Biggest Birthday Bash Ever!</t>
  </si>
  <si>
    <t>Downtown Wichita</t>
  </si>
  <si>
    <t>(316) 265-2800</t>
  </si>
  <si>
    <t>Monster Myths by Moonlight</t>
  </si>
  <si>
    <t>Ride our hayrack and come explore our nature trail by moonlight!</t>
  </si>
  <si>
    <t>Milford State Park</t>
  </si>
  <si>
    <t>3612 State Park Rd.</t>
  </si>
  <si>
    <t>Milford</t>
  </si>
  <si>
    <t>(785) 238-3014</t>
  </si>
  <si>
    <t>OK Kids Day on the Trail</t>
  </si>
  <si>
    <t>300 NE 43rd Street</t>
  </si>
  <si>
    <t>Shawnee North Community Center</t>
  </si>
  <si>
    <t>(785) 286-0676</t>
  </si>
  <si>
    <t>Oktoberfest</t>
  </si>
  <si>
    <t>Various events including chili cook-off, exhibitions and sales.</t>
  </si>
  <si>
    <t>102 S Main</t>
  </si>
  <si>
    <t>Caldwell</t>
  </si>
  <si>
    <t>(620) 845-6666</t>
  </si>
  <si>
    <t>caldwell@kanokla.net</t>
  </si>
  <si>
    <t>OZfest</t>
  </si>
  <si>
    <r>
      <t xml:space="preserve">A day of activities built around the </t>
    </r>
    <r>
      <rPr>
        <i/>
        <sz val="10"/>
        <rFont val="Arial"/>
        <family val="2"/>
      </rPr>
      <t>Wizard of Oz</t>
    </r>
    <r>
      <rPr>
        <sz val="10"/>
        <rFont val="Arial"/>
        <family val="2"/>
      </rPr>
      <t xml:space="preserve"> movie.</t>
    </r>
  </si>
  <si>
    <t>567 E Cedar St</t>
  </si>
  <si>
    <t>Liberal</t>
  </si>
  <si>
    <t>(620) 624-7624</t>
  </si>
  <si>
    <t>schs@swko.net</t>
  </si>
  <si>
    <t>www.dorothyshouse.com</t>
  </si>
  <si>
    <t>Pioneer Day</t>
  </si>
  <si>
    <t>This is an annual sharing of pioneer history of early settlers.</t>
  </si>
  <si>
    <t>511 6th</t>
  </si>
  <si>
    <t>Nicodemus</t>
  </si>
  <si>
    <t>(785) 839-4280</t>
  </si>
  <si>
    <t>Pumpkin PaZoola</t>
  </si>
  <si>
    <t>Celebrate autumn with an abundance of free activities for kids at the Zoo!</t>
  </si>
  <si>
    <t>Sugarland</t>
  </si>
  <si>
    <t>With Special Guest Sara Bareilles.</t>
  </si>
  <si>
    <t>500 E. Waterman</t>
  </si>
  <si>
    <t>INTRUST Bank Arena</t>
  </si>
  <si>
    <t>(316) 755-7328</t>
  </si>
  <si>
    <t>www.intrustbankarena.com</t>
  </si>
  <si>
    <t>Sunflower State Book Festival</t>
  </si>
  <si>
    <t>Statewide festival celebrating books by Kansas authors or about Kansas.</t>
  </si>
  <si>
    <t>325 W. Main Street</t>
  </si>
  <si>
    <t>221 W. Second Street</t>
  </si>
  <si>
    <t>Osborne</t>
  </si>
  <si>
    <t>(785) 346-5565</t>
  </si>
  <si>
    <t>von5@ruraltel.net</t>
  </si>
  <si>
    <t>www.sunflowerbookfest.com</t>
  </si>
  <si>
    <t>Svensk Hyllningsfest</t>
  </si>
  <si>
    <t>Swedish Honoring Festival held every other year brings visitors from across the world.</t>
  </si>
  <si>
    <t>Downtown Lindsborg</t>
  </si>
  <si>
    <t>Tiptoes Through the Tombstones</t>
  </si>
  <si>
    <t>Tiptoes Through the Tombstones.</t>
  </si>
  <si>
    <t>118 SW 8th Street</t>
  </si>
  <si>
    <t>Celtic Fox Restaurant</t>
  </si>
  <si>
    <t>(785) 231-4892</t>
  </si>
  <si>
    <t>www.ghosttoursofkansas.com</t>
  </si>
  <si>
    <t>Wellington's Fall Festival</t>
  </si>
  <si>
    <t>Homecoming Weekend in Wellington brings people from all over to celebrate the annual Fall Festival!!</t>
  </si>
  <si>
    <t>Washington and 7th St</t>
  </si>
  <si>
    <t>Wellington</t>
  </si>
  <si>
    <t>(620) 326-7466</t>
  </si>
  <si>
    <t>(620) 326-7467</t>
  </si>
  <si>
    <t>wellingtoncofc@sutv.com</t>
  </si>
  <si>
    <t>www.wellingtonks.org</t>
  </si>
  <si>
    <t>Antique Engine and Steam Show -- Harvest in the Fall</t>
  </si>
  <si>
    <t>Annual harvest festival!</t>
  </si>
  <si>
    <t>1100 W Diamond Dr</t>
  </si>
  <si>
    <t>Yesteryear Museum</t>
  </si>
  <si>
    <t>(785) 825-8473</t>
  </si>
  <si>
    <t>ckf@yesteryearmuseum.com</t>
  </si>
  <si>
    <t>www.yesteryearmuseum.com</t>
  </si>
  <si>
    <t>Ferellgas E.T. Bracket Series</t>
  </si>
  <si>
    <t>7530 SW Topeka Blvd.</t>
  </si>
  <si>
    <t>(785) 862-4781</t>
  </si>
  <si>
    <t>(800) 437-2237</t>
  </si>
  <si>
    <t>www.htp.com</t>
  </si>
  <si>
    <t>Gunny Sacks n' Glitter</t>
  </si>
  <si>
    <t>Craft &amp; Floral Open House</t>
  </si>
  <si>
    <t>8th &amp; Center</t>
  </si>
  <si>
    <t>Citizens State Bank Community Room</t>
  </si>
  <si>
    <t>(785) 562-3101</t>
  </si>
  <si>
    <t>marysvillechamber@sbcglobal.net</t>
  </si>
  <si>
    <t>Pome on the Range Fall Festival</t>
  </si>
  <si>
    <t>A great day of family fun at the apple orchard minutes from Ottawa!</t>
  </si>
  <si>
    <t>2050 Idaho Rd</t>
  </si>
  <si>
    <t>Pome on the Range Orchards</t>
  </si>
  <si>
    <t>Williamsburg</t>
  </si>
  <si>
    <t>(785) 746-5492</t>
  </si>
  <si>
    <t>pomeorchard@grapevine.net</t>
  </si>
  <si>
    <t>www.pomeontherange.com</t>
  </si>
  <si>
    <t>Santa Fe Trail Center Tired Iron Show</t>
  </si>
  <si>
    <t>Experience farming as it was with demonstrations, displays and kids events.</t>
  </si>
  <si>
    <t>1349 K-156 Hwy</t>
  </si>
  <si>
    <t>Santa Fe Trail Center</t>
  </si>
  <si>
    <t>(620) 285-2054</t>
  </si>
  <si>
    <t>(620) 285-7491</t>
  </si>
  <si>
    <t>info@santafetrailcenter.org</t>
  </si>
  <si>
    <t>www.santafetrailcenter.org</t>
  </si>
  <si>
    <t>Sugar Mound Arts &amp; Crafts Festival</t>
  </si>
  <si>
    <t>Held the second full weekend in October, features over 500 booths with hand crafted art and crafts.</t>
  </si>
  <si>
    <t>Linn County Fairgrounds</t>
  </si>
  <si>
    <t>PO Box 128</t>
  </si>
  <si>
    <t>Mound City</t>
  </si>
  <si>
    <t>(913) 795-3003</t>
  </si>
  <si>
    <t>http://www.moundcity.org/index.php?option=com_content&amp;view=article&amp;id=94&amp;Itemid=94</t>
  </si>
  <si>
    <t>Topeka Gem and Mineral Show</t>
  </si>
  <si>
    <t>17th &amp; Polk</t>
  </si>
  <si>
    <t>Agricultural Hall</t>
  </si>
  <si>
    <t>Walters Pumpkin Patch events</t>
  </si>
  <si>
    <t>Old Photo Booth/Pickin' at the Patch</t>
  </si>
  <si>
    <t>2011 Bert Nash Dash &amp; Bash</t>
  </si>
  <si>
    <t>Bert Nash Community Mental Health Center 60th anniversary with the Annual Bert Nash Dash &amp; Bash!</t>
  </si>
  <si>
    <t>(785) 830-1701</t>
  </si>
  <si>
    <t>http://www.bertnashdashbash.org/</t>
  </si>
  <si>
    <t>Alpaca Farm Day</t>
  </si>
  <si>
    <t>A day on the farm to see alpacas and enjoy activities and demonstrations.</t>
  </si>
  <si>
    <t>2077 Avenue E</t>
  </si>
  <si>
    <t>1811 E 26th, Hays, KS 67601</t>
  </si>
  <si>
    <t>LaCrosse</t>
  </si>
  <si>
    <t>(785) 628-6352</t>
  </si>
  <si>
    <t>koality@hotmail.com</t>
  </si>
  <si>
    <t>www.fairviewfarmsalpacas.com</t>
  </si>
  <si>
    <t>Falun Classic</t>
  </si>
  <si>
    <t>32 mile bike ride!</t>
  </si>
  <si>
    <t>400 block of N. Main Street</t>
  </si>
  <si>
    <t>visitlindsborg.com</t>
  </si>
  <si>
    <t>McCain Performance Series: Bill Cosby</t>
  </si>
  <si>
    <t>A heart-touching evening with a national treasure.</t>
  </si>
  <si>
    <t>211 McCain Auditorium</t>
  </si>
  <si>
    <t>K-State University</t>
  </si>
  <si>
    <t>(785) 532-6428</t>
  </si>
  <si>
    <t>mccain@ksu.edu</t>
  </si>
  <si>
    <t>http://k-state.edu/mccain</t>
  </si>
  <si>
    <t>Taste of Adventure: Fossil Hunt</t>
  </si>
  <si>
    <t>Explore another time with renowned Fossil hunter, Bob Levin!</t>
  </si>
  <si>
    <t>Anita@rollinghillswildlife.com</t>
  </si>
  <si>
    <t>BEYOND: Visions of Planetary Landscapes</t>
  </si>
  <si>
    <t>Photographs spanning every planet in our solar system made into stunningly beautiful prints.</t>
  </si>
  <si>
    <t>National Greyhound Association Fall Meet</t>
  </si>
  <si>
    <t>Come watch the greyhound races to see who the next racing superstar might be!</t>
  </si>
  <si>
    <t>National Greyhound Association</t>
  </si>
  <si>
    <t>729 Hwy 40</t>
  </si>
  <si>
    <t>(785) 263-4660</t>
  </si>
  <si>
    <t>www.ngagreyhounds.com</t>
  </si>
  <si>
    <t>A Taste of Downtown Hays</t>
  </si>
  <si>
    <t>Restaurants in Hays let you sample their best dishes.</t>
  </si>
  <si>
    <t>1202 Main</t>
  </si>
  <si>
    <t>(785) 628-8201</t>
  </si>
  <si>
    <t>sabrina@discoverhays.com</t>
  </si>
  <si>
    <t>www.chestnutstreetdistrict.com</t>
  </si>
  <si>
    <t>Wylliams-Henry Contemporary Dance Company</t>
  </si>
  <si>
    <t>Performance by Wylliams-Henry contemporary Dance Company.</t>
  </si>
  <si>
    <t>1111 Walnut</t>
  </si>
  <si>
    <t>MHS Auditorium</t>
  </si>
  <si>
    <t>(785) 562-5629</t>
  </si>
  <si>
    <t>krusewayne@gmail.com</t>
  </si>
  <si>
    <t>An Orphan Train Rider's Story</t>
  </si>
  <si>
    <t>Meet acclaimed speaker and author of Mail-Order Kid, Marilyn Coffey!</t>
  </si>
  <si>
    <t>300 Washington St.</t>
  </si>
  <si>
    <t>(785) 243-4471</t>
  </si>
  <si>
    <t>orphantraindepot@gmail.com</t>
  </si>
  <si>
    <t>www.orphantraindepot.com</t>
  </si>
  <si>
    <t>Gillian Welch</t>
  </si>
  <si>
    <t>Two people making music together as if they were one soul combined.</t>
  </si>
  <si>
    <t>200 N. Broadway St., Ste. 102</t>
  </si>
  <si>
    <t>Orpheum Performing Arts Center</t>
  </si>
  <si>
    <t>www.wichitaorpheum.com</t>
  </si>
  <si>
    <t>"Murder me Always" - Murder Mystery Dinner Theatre</t>
  </si>
  <si>
    <t>"Murder Me Always" by Lee Mueller - Murder Mystery Dinner Theatre</t>
  </si>
  <si>
    <t>Cherokee Strip Land Rush Museum</t>
  </si>
  <si>
    <t>31639 US 77</t>
  </si>
  <si>
    <t>(620) 442-6750</t>
  </si>
  <si>
    <t>Boots and Stetsons - The Kansas Cowboy with Jim Hoy - Lenexa</t>
  </si>
  <si>
    <t>23860 W 83rd Ter</t>
  </si>
  <si>
    <t>Monticello Community Historical Society</t>
  </si>
  <si>
    <t>Lenexa</t>
  </si>
  <si>
    <t>(913) 667-3706</t>
  </si>
  <si>
    <t>High Plains Rally Electric Car Race</t>
  </si>
  <si>
    <t>High school teams from KS, CO and NE race electric-powered cars they designed and built.</t>
  </si>
  <si>
    <t>600 Park</t>
  </si>
  <si>
    <t>West Frontier Park</t>
  </si>
  <si>
    <t>(785) 628-4314</t>
  </si>
  <si>
    <t>jchretie@fhsu.edu</t>
  </si>
  <si>
    <t>www.westerncoop.com/index_files/Page2961.htm</t>
  </si>
  <si>
    <t>Olathe Historical Cemetery Tour</t>
  </si>
  <si>
    <t>Visit costumed characters telling stories about their lives in Olathe.</t>
  </si>
  <si>
    <t>1200 Kansas City Rd</t>
  </si>
  <si>
    <t>Mahaffie Stagecoach Stop &amp; Farm</t>
  </si>
  <si>
    <t>Olathe</t>
  </si>
  <si>
    <t>(913) 971-5111</t>
  </si>
  <si>
    <t>Mahaffie@olatheks.org</t>
  </si>
  <si>
    <t>www.mahaffie.org</t>
  </si>
  <si>
    <t>K-State Theatre &amp; Dance: The 25th Annual Putnam Country Spelling Bee</t>
  </si>
  <si>
    <t>The Tony Award-winning musical.</t>
  </si>
  <si>
    <t>129 Nichols Hall</t>
  </si>
  <si>
    <t>http://cstd.k-state.edu/Theatre/</t>
  </si>
  <si>
    <t>McCain Performance Series: Yamato Drummers of Japan</t>
  </si>
  <si>
    <t>An exhilarating kaleidoscope of sights and sound.</t>
  </si>
  <si>
    <t>http://www.k-state.edu/mccain/</t>
  </si>
  <si>
    <t>Mitch Seekins Sings Tony Bennett</t>
  </si>
  <si>
    <t>Don't miss out as the music and voice of a legend is celebrated!</t>
  </si>
  <si>
    <t>C.L. Hoover Opera House</t>
  </si>
  <si>
    <t>135 W. 7th St.</t>
  </si>
  <si>
    <t>(785) 238-3906</t>
  </si>
  <si>
    <t>www.jcoperahouse.org</t>
  </si>
  <si>
    <t>Wild &amp; Scenic Film Festival</t>
  </si>
  <si>
    <t>Considered the largest film festival of its kind,</t>
  </si>
  <si>
    <t>644 Massachusetts</t>
  </si>
  <si>
    <t>Liberty Hall</t>
  </si>
  <si>
    <t>(785) 749-1972</t>
  </si>
  <si>
    <t>5th Annual Autumn Blaze BBQ Smoke Off</t>
  </si>
  <si>
    <t>KCBS sanctioned barbecue contest. Fun for the whole family!</t>
  </si>
  <si>
    <t>510 N Lake Rd</t>
  </si>
  <si>
    <t>North Lake Park</t>
  </si>
  <si>
    <t>(785) 448-5357</t>
  </si>
  <si>
    <t>garnettkofc@yahoo.com</t>
  </si>
  <si>
    <t>www.garnettKofC.com</t>
  </si>
  <si>
    <t>Lenexa Chili Challenge</t>
  </si>
  <si>
    <t>100 teams compete in two chili divisions, salsa &amp; hot wings</t>
  </si>
  <si>
    <t>13420 Oak</t>
  </si>
  <si>
    <t>(913) 477-7100</t>
  </si>
  <si>
    <t>jfinlen@ci.lenexa.ks.us</t>
  </si>
  <si>
    <t>http://www.ci.lenexa.ks.us/parks/chilichallenge.html</t>
  </si>
  <si>
    <t>5th Annual Smoky Hill Trail Association Conference</t>
  </si>
  <si>
    <t>5th Annual Conference will be held in Oakley, Kansas. The theme is "The Contested Plains."</t>
  </si>
  <si>
    <t>PO Box 322</t>
  </si>
  <si>
    <t>WaKeeney</t>
  </si>
  <si>
    <t>(785) 259-0725</t>
  </si>
  <si>
    <t>jodyz@ruraltel.net</t>
  </si>
  <si>
    <t>www.smokyhilltrail.com</t>
  </si>
  <si>
    <t>Live Professional Theatre: "Leading Ladies"</t>
  </si>
  <si>
    <t>"Leading Ladies"</t>
  </si>
  <si>
    <t>Great Plains Theatre</t>
  </si>
  <si>
    <t>300 N Mulberry</t>
  </si>
  <si>
    <t>(785) 263-4574</t>
  </si>
  <si>
    <t>(888) 222-4574</t>
  </si>
  <si>
    <t>boxoffice@greatplainstheatre.com</t>
  </si>
  <si>
    <t>http://www.greatplainstheatre.com/index.htm</t>
  </si>
  <si>
    <t>Arts and Craft Show</t>
  </si>
  <si>
    <t>Start your Christmas shopping...</t>
  </si>
  <si>
    <t>217 S High St</t>
  </si>
  <si>
    <t>former National Guard Armory building</t>
  </si>
  <si>
    <t>Mankato</t>
  </si>
  <si>
    <t>(785) 545-5598</t>
  </si>
  <si>
    <t>www.jewellcountyhistory.com</t>
  </si>
  <si>
    <t>Belleville Autumn Fest</t>
  </si>
  <si>
    <t>Day of crafts,costume contest, entertainment, kids games,food and fun activities, chili cook-off</t>
  </si>
  <si>
    <t>1815 M St</t>
  </si>
  <si>
    <t>Belleville</t>
  </si>
  <si>
    <t>(785) 527-5524</t>
  </si>
  <si>
    <t>(866) 527-2355</t>
  </si>
  <si>
    <t>bellevcham@nckcn.com</t>
  </si>
  <si>
    <t>www.bellevilleks.org</t>
  </si>
  <si>
    <t>Chautauqua County Fall Festival/Ranch Rodeo</t>
  </si>
  <si>
    <t>Ranch rodeo and craft booths.</t>
  </si>
  <si>
    <t>Hooper St</t>
  </si>
  <si>
    <t>Sedan Fairgrounds</t>
  </si>
  <si>
    <t>Sedan</t>
  </si>
  <si>
    <t>(620) 725-5398</t>
  </si>
  <si>
    <t>Double Ogg Dare Festival</t>
  </si>
  <si>
    <t>Join a celebration of the great outdoors!</t>
  </si>
  <si>
    <t>7900 Renner Road</t>
  </si>
  <si>
    <t>Shawnee Mission</t>
  </si>
  <si>
    <t>(913) 438-7275</t>
  </si>
  <si>
    <t>communityrelations@jocogov.org</t>
  </si>
  <si>
    <t>www.doubleoggdare.com</t>
  </si>
  <si>
    <t>Eisenhower Legacy Dinner</t>
  </si>
  <si>
    <t>Annual Legacy Dinner</t>
  </si>
  <si>
    <t>Eisenhower Presidential Library (Courtyard)</t>
  </si>
  <si>
    <t>Fun Family Finger Painting!</t>
  </si>
  <si>
    <t>17th &amp; Jewell</t>
  </si>
  <si>
    <t>Mulvane Art Lab</t>
  </si>
  <si>
    <t>(785) 670-2420</t>
  </si>
  <si>
    <t>Halstead Fine Arts, Crafts &amp; Quilt Festival</t>
  </si>
  <si>
    <t>45rd Annual Fine Arts, Crafts &amp; Quilt Festival. Host of High School Art Competition.</t>
  </si>
  <si>
    <t>520 W 6th</t>
  </si>
  <si>
    <t>Halstead High School</t>
  </si>
  <si>
    <t>Halstead</t>
  </si>
  <si>
    <t>(316) 204-3556</t>
  </si>
  <si>
    <t>(866) 807-2343</t>
  </si>
  <si>
    <t>bethann@therealestatecollc.com</t>
  </si>
  <si>
    <t>www.HalsteadKansas.com</t>
  </si>
  <si>
    <t>Kingman Area Chamber Fall Arts &amp; Crafts Festival</t>
  </si>
  <si>
    <t>Join the fun at our fall arts &amp; crafts festival!</t>
  </si>
  <si>
    <t>Kingman Armory</t>
  </si>
  <si>
    <t>Kingman</t>
  </si>
  <si>
    <t>(620) 532-1234</t>
  </si>
  <si>
    <t>KU Football vs Oklahoma</t>
  </si>
  <si>
    <t>University of Kansas football.</t>
  </si>
  <si>
    <t>1201 Mississippi</t>
  </si>
  <si>
    <t>Memorial Stadium, KU Campus</t>
  </si>
  <si>
    <t>(800) 344-2957</t>
  </si>
  <si>
    <t>www.kuathletics.com</t>
  </si>
  <si>
    <t>Laughing Matters Jr.</t>
  </si>
  <si>
    <t>National Wildlife Refuge Week Celebration</t>
  </si>
  <si>
    <t>Celebration Time!</t>
  </si>
  <si>
    <t>1434 NE 80th Street</t>
  </si>
  <si>
    <t>Quivira National Wildlife Refuge</t>
  </si>
  <si>
    <t>Stafford</t>
  </si>
  <si>
    <t>(620) 486-2393</t>
  </si>
  <si>
    <t>quivira@fws.gov</t>
  </si>
  <si>
    <t>Polka bands, beer, bierocks and more.</t>
  </si>
  <si>
    <t>3000 S. Santa Fe, Santa Fe Park</t>
  </si>
  <si>
    <t>Fiesta Grounds, Santa Fe Park</t>
  </si>
  <si>
    <t>Chanute</t>
  </si>
  <si>
    <t>(620) 431-3350</t>
  </si>
  <si>
    <t>(877) 431-3350</t>
  </si>
  <si>
    <t>(620) 431-7700</t>
  </si>
  <si>
    <t>information@chanutechamber.com</t>
  </si>
  <si>
    <t>www.chanutechamber.com</t>
  </si>
  <si>
    <t>Reckless Kelly</t>
  </si>
  <si>
    <t>Alternative country-rock outfit named for 19th century Australian bank robber Ned Kelly.</t>
  </si>
  <si>
    <t>The Paul Mesner Puppets in "Anansi the Spider"</t>
  </si>
  <si>
    <t>The Paul Mesner Puppets performance is great entertainment for the entire family!</t>
  </si>
  <si>
    <t>Chainsaw Sculptures and 37 Mile Band</t>
  </si>
  <si>
    <t>Sculptors carve giant pumpkins at Walters' Pumpkin Patch.</t>
  </si>
  <si>
    <t>Maple Leaf Festival</t>
  </si>
  <si>
    <t>54th Annual Arts and Crafts Festival in Historic Baldwin City</t>
  </si>
  <si>
    <t>720 High St</t>
  </si>
  <si>
    <t>(785) 594-7564</t>
  </si>
  <si>
    <t>www.mapleleaffestival.com</t>
  </si>
  <si>
    <t>Maple Leaf Festival Tours at Black Jack Battlefield</t>
  </si>
  <si>
    <t>Tours in conjunction with Baldwin City's Maple Leaf Festival</t>
  </si>
  <si>
    <t>163 E 2000 Road</t>
  </si>
  <si>
    <t>events@blackjackbattlefield.org</t>
  </si>
  <si>
    <t>http://www.blackjackbattlefield.org</t>
  </si>
  <si>
    <t>A Time For Singing-Community Hymn Festival</t>
  </si>
  <si>
    <t>A Time For Singing-Community Hymn Festival.</t>
  </si>
  <si>
    <t>701 SW 8th Avenue</t>
  </si>
  <si>
    <t>(785) 235-3457</t>
  </si>
  <si>
    <t>www.GraceCathedralTopeka.org</t>
  </si>
  <si>
    <t>Century of Toys Toy Show</t>
  </si>
  <si>
    <t>Annual toy show &amp; sale.</t>
  </si>
  <si>
    <t>(785) 446-2860</t>
  </si>
  <si>
    <t>Toys! Toys! Toys!</t>
  </si>
  <si>
    <t>Cornhusk Dolls Workshop</t>
  </si>
  <si>
    <t>Join us at 2 pm for a presentation on making Cornhusk dolls.</t>
  </si>
  <si>
    <t>museum@santafetrailcenter.org</t>
  </si>
  <si>
    <t>Feast of the Fields</t>
  </si>
  <si>
    <t>Unique culinary event in a Kansas corn field.</t>
  </si>
  <si>
    <t>7280 Zeandale Road</t>
  </si>
  <si>
    <t>(785) 456-9201</t>
  </si>
  <si>
    <t>rcfm@wamego.net</t>
  </si>
  <si>
    <t>http://feastofthefields.yolasite.com/</t>
  </si>
  <si>
    <t>Kansas 150 - Film Series</t>
  </si>
  <si>
    <t>heritagecenterdk@sbcglobal.net</t>
  </si>
  <si>
    <t>http://www.heritagecenterdk.com/index.htm</t>
  </si>
  <si>
    <t>La Catrina Quartet</t>
  </si>
  <si>
    <t>La Catrina will perform an all-Latin American program.</t>
  </si>
  <si>
    <t>1600 Stewart</t>
  </si>
  <si>
    <t>(785) 864-2787</t>
  </si>
  <si>
    <t>http://www.lied.ku.edu/season/index.shtml</t>
  </si>
  <si>
    <t>Story Teller JJ Jasper</t>
  </si>
  <si>
    <t>Storyteller JJ Jasper from American Family Radio "JJ &amp; Ron in the Morning".</t>
  </si>
  <si>
    <t>(785) 562-2621</t>
  </si>
  <si>
    <t>Voices from the Past, Soup Supper &amp; Train Rides</t>
  </si>
  <si>
    <t>Enjoy stories of past lives in Blue Rapids History, a Soup Supper &amp; Train Rides.</t>
  </si>
  <si>
    <t>Fairmont Cemetery &amp; Public Square</t>
  </si>
  <si>
    <t>Blue Rapids</t>
  </si>
  <si>
    <t>(785) 363-7949</t>
  </si>
  <si>
    <t>plumswede@yahoo.com</t>
  </si>
  <si>
    <t>4 Troops - performance by Military Veterans</t>
  </si>
  <si>
    <t>Performance by four United States combat veterans.</t>
  </si>
  <si>
    <t>GSPCA National Field Trial</t>
  </si>
  <si>
    <t>Hundreds of dogs, horses, participants and spectators.</t>
  </si>
  <si>
    <t>957 G Road</t>
  </si>
  <si>
    <t>Bechtel Ranch</t>
  </si>
  <si>
    <t>Eureka</t>
  </si>
  <si>
    <t>(620) 583-6217</t>
  </si>
  <si>
    <t>eurekasignworks@yahoo.com</t>
  </si>
  <si>
    <t>Cirque Mechanics - BoomTown</t>
  </si>
  <si>
    <t>BoomTown takes you beyond the town and deep into the mine.</t>
  </si>
  <si>
    <t>Jo Dee Messina with special guest Billy Dean</t>
  </si>
  <si>
    <t>Jo Dee Messina with special guest Billy Dean.</t>
  </si>
  <si>
    <t>Phantom of the Opera</t>
  </si>
  <si>
    <t>One of the greatest horror thrillers of all times!</t>
  </si>
  <si>
    <t>Tallgrass Film Festival</t>
  </si>
  <si>
    <t>"Get Twisted" with the 9th Annual Tallgrass Film Festival!</t>
  </si>
  <si>
    <t>Various Downtown Locations</t>
  </si>
  <si>
    <t>www.tallgrassfilmfest.com</t>
  </si>
  <si>
    <t>McCain Performance Series: Los Angeles Guitar Quartet</t>
  </si>
  <si>
    <t>Grammy-winning guitar heroes.</t>
  </si>
  <si>
    <t>The National Acrobats of the People's Republic of China</t>
  </si>
  <si>
    <t>An astounding and mesmerizing experience for the young and the young at heart.</t>
  </si>
  <si>
    <t>13th Annual Blues Masters at the Crossroads</t>
  </si>
  <si>
    <t>Photo: Marquise Knox and Honeyboy Edwards</t>
  </si>
  <si>
    <t>201 S 8th</t>
  </si>
  <si>
    <t>(785) 825-8609</t>
  </si>
  <si>
    <t>(800) 716-3553</t>
  </si>
  <si>
    <t>www.blueheavenstudios.com</t>
  </si>
  <si>
    <t>7th Annual Fall Gospel Sings Concert</t>
  </si>
  <si>
    <t>Admission Free. Freewill offering received.</t>
  </si>
  <si>
    <t>245 Northeast 30th Road</t>
  </si>
  <si>
    <t>Fine Arts Auditorium at Barton County Community College</t>
  </si>
  <si>
    <t>(620) 792-7664</t>
  </si>
  <si>
    <t>Creepy Crawly Tours</t>
  </si>
  <si>
    <t>Scary Stuff!</t>
  </si>
  <si>
    <t>383 E. Central</t>
  </si>
  <si>
    <t>(316) 321-9333</t>
  </si>
  <si>
    <t>history@kansasoilmuseum.org</t>
  </si>
  <si>
    <t>http://http//:www.kansasoilmuseum.org/</t>
  </si>
  <si>
    <t>Historic Cato Tours and Kansas Sesquicentennial Celebration</t>
  </si>
  <si>
    <t>Annual school tour and historic visit.</t>
  </si>
  <si>
    <t>592 East 725th Ave.</t>
  </si>
  <si>
    <t>Aracadia</t>
  </si>
  <si>
    <t>(620) 232-6944</t>
  </si>
  <si>
    <t>www.catoschool.com</t>
  </si>
  <si>
    <t>Independence - proud to host the largest festival in the state! Activities for everyone!</t>
  </si>
  <si>
    <t>322 N Penn</t>
  </si>
  <si>
    <t>(620) 331-1899</t>
  </si>
  <si>
    <t>chamber@indkschamber.org</t>
  </si>
  <si>
    <t>www.neewollah.com</t>
  </si>
  <si>
    <t>Night of the Living Farm</t>
  </si>
  <si>
    <t>Haunted barn, hayride and more.</t>
  </si>
  <si>
    <t>Night Terrors Haunted House</t>
  </si>
  <si>
    <t>The scariest house in Atchison</t>
  </si>
  <si>
    <t>4th &amp; Kansas</t>
  </si>
  <si>
    <t>(913) 367-1647</t>
  </si>
  <si>
    <t>theatre@theatreatchison.org</t>
  </si>
  <si>
    <t>www.theatreatchison.org</t>
  </si>
  <si>
    <t>Terror Train</t>
  </si>
  <si>
    <t>Midland Railway's "TERROR TRACKS".</t>
  </si>
  <si>
    <t>1515 W High St</t>
  </si>
  <si>
    <t>(913) 721-1211</t>
  </si>
  <si>
    <t>akinsley.midlandry@yahoo.com</t>
  </si>
  <si>
    <t>www.midland-ry.org</t>
  </si>
  <si>
    <t>Prescription: Murder</t>
  </si>
  <si>
    <t>Prescription: Murder, a thriller by William Link &amp; Richard Levinson.</t>
  </si>
  <si>
    <t>Prime Rib catered by AppleMint Catering (Vangie Henry)</t>
  </si>
  <si>
    <t>Astronomy Program at Chaplin Nature Center</t>
  </si>
  <si>
    <t>Annual Astronomy evening.</t>
  </si>
  <si>
    <t>Chaplin Nature Center</t>
  </si>
  <si>
    <t>27814 27th Dr.</t>
  </si>
  <si>
    <t>(620) 442-4133</t>
  </si>
  <si>
    <t>www.wichitaaudubon.org</t>
  </si>
  <si>
    <t>Big Bad Canine’s Costume Contest and Parade</t>
  </si>
  <si>
    <t>Does your pooch love dressing up? Or at least tolerate it?</t>
  </si>
  <si>
    <t>(913) 826-3160</t>
  </si>
  <si>
    <t>info@jcprd.com</t>
  </si>
  <si>
    <t>www.jcprd.com</t>
  </si>
  <si>
    <t>Big Bad Pumpkin Derby</t>
  </si>
  <si>
    <t>We are looking for fun loving and creative individuals to participate in the Big Bad Pumpkin Derby!</t>
  </si>
  <si>
    <t>(913) 831-3359</t>
  </si>
  <si>
    <t>Harvest Festival &amp; Chili Cook-Off</t>
  </si>
  <si>
    <t>Great Chili, entertainment, crafts, arts, children's activities</t>
  </si>
  <si>
    <t>19 South Silver Street</t>
  </si>
  <si>
    <t>Paola's Park Square</t>
  </si>
  <si>
    <t>Paola</t>
  </si>
  <si>
    <t>(913) 269-1639</t>
  </si>
  <si>
    <t>paolatourism2011@gmail.com</t>
  </si>
  <si>
    <t>Haunted Kansas at Ernie Miller Park</t>
  </si>
  <si>
    <t>As darkness falls, walk through the trails and listen to the stories of long ago.</t>
  </si>
  <si>
    <t>909 N. K-7 Highway</t>
  </si>
  <si>
    <t>(913) 764-7759</t>
  </si>
  <si>
    <t>KU Football vs Kansas State</t>
  </si>
  <si>
    <t>Scary on the Prairie</t>
  </si>
  <si>
    <t>A Halloween event for school kids.</t>
  </si>
  <si>
    <t>Old Prairie Town at Ward Meade</t>
  </si>
  <si>
    <t>Ward-Meade Park Psychic Fun and Feast Hearth Dinner</t>
  </si>
  <si>
    <t>Ward-Meade Park Psychic Fun and Feast Hearth Dinner.</t>
  </si>
  <si>
    <t>124 SW Clay</t>
  </si>
  <si>
    <t>Ward-Meade Park</t>
  </si>
  <si>
    <t>(785) 851-0856</t>
  </si>
  <si>
    <t>Ferrellgas E.T. Bracket Series</t>
  </si>
  <si>
    <t>www.hpt.com</t>
  </si>
  <si>
    <t>Arkalalah</t>
  </si>
  <si>
    <t>80th Annual Fall Festival</t>
  </si>
  <si>
    <t>Summit St</t>
  </si>
  <si>
    <t>(620) 442-6077</t>
  </si>
  <si>
    <t>Fort Riley Ghost Tours</t>
  </si>
  <si>
    <t>Visit some historic buildings on Ft. Riley...Be Careful of Ghosts!</t>
  </si>
  <si>
    <t>U.S. Cavalry Museum</t>
  </si>
  <si>
    <t>Bldg. 205 Custer Ave.</t>
  </si>
  <si>
    <t>Fort Riley</t>
  </si>
  <si>
    <t>(785) 239-2737</t>
  </si>
  <si>
    <t>www.junctioncity.org</t>
  </si>
  <si>
    <t>Oketo Potato Bake</t>
  </si>
  <si>
    <t>Annual Oketo Potato Bake</t>
  </si>
  <si>
    <t>106 E. Center Street</t>
  </si>
  <si>
    <t>Oketo City Hall</t>
  </si>
  <si>
    <t>Oketo</t>
  </si>
  <si>
    <t>(785) 744-3289</t>
  </si>
  <si>
    <t>Standing on the Border of Two Worlds: Mourning Our Civil War Dead in Garden Cemeteries</t>
  </si>
  <si>
    <t>Learn the importance of garden cemeteries along the byways.</t>
  </si>
  <si>
    <t>85 S Hwy 281</t>
  </si>
  <si>
    <t>Barton County Historical Society Museum and Village</t>
  </si>
  <si>
    <t>(620) 793-5125</t>
  </si>
  <si>
    <t>http://bartoncountymuseum.org/</t>
  </si>
  <si>
    <t>McCain Performance Series: Lukas Nelson &amp; Promise of the Real</t>
  </si>
  <si>
    <t>Rock and roots powerhouse.</t>
  </si>
  <si>
    <t>Matt White Concert &amp; Residency</t>
  </si>
  <si>
    <t>Matt While Concert &amp; Residency.</t>
  </si>
  <si>
    <t>201 South 9th Street</t>
  </si>
  <si>
    <t>Lee Dam Center for Fine Art</t>
  </si>
  <si>
    <t>2011 Fall Trout Program - Johnson County Park &amp; Recreation District</t>
  </si>
  <si>
    <t>Bring the kids and watch as trout are stocked in Heritage and Shawnee Mission Park lakes.</t>
  </si>
  <si>
    <t>(913) 888-4713</t>
  </si>
  <si>
    <t>In the Mood</t>
  </si>
  <si>
    <t>1940's Musical Revue.</t>
  </si>
  <si>
    <t>Share our Culture Lecture Series: Day of the Dead and Memorial Ceremonies</t>
  </si>
  <si>
    <t>650 N. Seneca</t>
  </si>
  <si>
    <t>(316) 350-3340</t>
  </si>
  <si>
    <t>www.theindiancenter.org</t>
  </si>
  <si>
    <t>All Treats Day</t>
  </si>
  <si>
    <t>Kids of all ages and parents are welcome to be in the Costume Parade, just show up!</t>
  </si>
  <si>
    <t>Junction City Municipal Bldg.</t>
  </si>
  <si>
    <t>700 N. Jefferson St.</t>
  </si>
  <si>
    <t>(785) 762-2632</t>
  </si>
  <si>
    <t>www.junctioncitychamber.org</t>
  </si>
  <si>
    <t>Rev. Dr. Bobbie Groth Presentation, Reading, &amp; Book Signing</t>
  </si>
  <si>
    <t>Life during the Civil War in Lawrence.</t>
  </si>
  <si>
    <t>1047 Massachusetts</t>
  </si>
  <si>
    <t>Watkins Museum of History</t>
  </si>
  <si>
    <t>(785) 841-4109</t>
  </si>
  <si>
    <t>http://www.watkinsmuseum.org/</t>
  </si>
  <si>
    <t>Trick or Treat Downtown &amp; Halloween Carnival</t>
  </si>
  <si>
    <t>Trick or Treat down Main Street &amp; Holloween Carnival</t>
  </si>
  <si>
    <t>https://www.mcphersonks.org</t>
  </si>
  <si>
    <t>Haunted House, Hayrack Rides &amp; More</t>
  </si>
  <si>
    <t>Spooktacular fun sponsored by the Marysville Main Street.</t>
  </si>
  <si>
    <t>9th &amp; Broadway</t>
  </si>
  <si>
    <t>Historic Koester Black</t>
  </si>
  <si>
    <t>(785) 562-8374</t>
  </si>
  <si>
    <t>marysvillemainst@bluevalley.net</t>
  </si>
  <si>
    <t>Hutchinson/Wichita Agility Dog Trials</t>
  </si>
  <si>
    <t>Agility Dog Trials</t>
  </si>
  <si>
    <t>2000 N Poplar</t>
  </si>
  <si>
    <t>(620) 669-9629</t>
  </si>
  <si>
    <t>Big Boo Rama</t>
  </si>
  <si>
    <t>BIG BOO RAMA</t>
  </si>
  <si>
    <t>100 S. Santa Fe</t>
  </si>
  <si>
    <t>Santa Fe Ave. &amp; Downtown Lee District</t>
  </si>
  <si>
    <t>(785) 825-0535</t>
  </si>
  <si>
    <t>pklima@salinadowntown.com</t>
  </si>
  <si>
    <t>http://www.salinadowntown.com</t>
  </si>
  <si>
    <t>Black Squirrel Night</t>
  </si>
  <si>
    <t>Annual celebration - entertainment, costume contest, food vendors and more.</t>
  </si>
  <si>
    <t>7th and Broadway</t>
  </si>
  <si>
    <t>Historic Downtown</t>
  </si>
  <si>
    <t>(800) 752-3965</t>
  </si>
  <si>
    <t>http://www.marysvillekansaschamber.org/events</t>
  </si>
  <si>
    <t>Haunted Trail to the Lost Lagoon</t>
  </si>
  <si>
    <t>Haunted Trail to the Lost Lagoon.</t>
  </si>
  <si>
    <t>29th &amp; Croco Road</t>
  </si>
  <si>
    <t>Lake Shawnee Beach</t>
  </si>
  <si>
    <t>(785) 267-1156</t>
  </si>
  <si>
    <t>www.snco.us/parksandrec</t>
  </si>
  <si>
    <t>KU School of Music Symphony Orchestra Halloween Concert and Costume Contest</t>
  </si>
  <si>
    <t>Halloween Concert and Costume Contest!</t>
  </si>
  <si>
    <t>Rock Legends Contest</t>
  </si>
  <si>
    <t>Have you ever wanted to be a Rock Star?</t>
  </si>
  <si>
    <t>135 W 7th St</t>
  </si>
  <si>
    <t>Silents in the Cathedral</t>
  </si>
  <si>
    <t>Star Gazing</t>
  </si>
  <si>
    <t>Come to the KWEC to attend this astounding star-gazing experience like no other!</t>
  </si>
  <si>
    <t>Kansas Wetlands Education Center</t>
  </si>
  <si>
    <t>592 NE K-156 Hwy</t>
  </si>
  <si>
    <t>http://wetlandscenter.fhsu.edu</t>
  </si>
  <si>
    <t>Trick-or-Treat Aggieville</t>
  </si>
  <si>
    <t>Trick-or-Treat in Aggieville. The merchants will bring the treats.</t>
  </si>
  <si>
    <t>Moro and Manhattan Ave</t>
  </si>
  <si>
    <t>Aggieville</t>
  </si>
  <si>
    <t>(785) 776-8050</t>
  </si>
  <si>
    <t>aggieville@aggieville.org</t>
  </si>
  <si>
    <t>www.aggieville.org</t>
  </si>
  <si>
    <t>WTCT Radio Players</t>
  </si>
  <si>
    <t>Halloween Haunted Train</t>
  </si>
  <si>
    <t>Halloween Haunted Miniature Train rides</t>
  </si>
  <si>
    <t>200 South 10th</t>
  </si>
  <si>
    <t>Kansas State 2-1A Volleyball Championships</t>
  </si>
  <si>
    <t>The best small town volleyball teams compete for the state title.</t>
  </si>
  <si>
    <t>600 Park St</t>
  </si>
  <si>
    <t>Gross Memorial Coliseum - Fort Hays State University</t>
  </si>
  <si>
    <t>(785) 628-4050</t>
  </si>
  <si>
    <t>athletics@fhsu.edu</t>
  </si>
  <si>
    <t>www.kshsaa.org</t>
  </si>
  <si>
    <t>KSHSAA Girls State Volleyball Tournaments</t>
  </si>
  <si>
    <t>High school girls compete for the state championship.</t>
  </si>
  <si>
    <t>(785) 827-9301</t>
  </si>
  <si>
    <t>tbenien@salinakansas.org</t>
  </si>
  <si>
    <t>Pumpkins on Parade</t>
  </si>
  <si>
    <t>Artistically carved pumpkins on display.</t>
  </si>
  <si>
    <t>701 Massachusetts</t>
  </si>
  <si>
    <t>Eldridge Hotel</t>
  </si>
  <si>
    <t>(785) 749-5011</t>
  </si>
  <si>
    <t>Live Professional Theatre: "25th Annual Putnam County Spelling Bee"</t>
  </si>
  <si>
    <t>Rated PG-13</t>
  </si>
  <si>
    <t>"Dracula"</t>
  </si>
  <si>
    <t>Play performed by local theatre group, the River City Community Players.</t>
  </si>
  <si>
    <t>5th &amp; Delaware</t>
  </si>
  <si>
    <t>(913) 682-7557</t>
  </si>
  <si>
    <t>mikef@fai-group.com</t>
  </si>
  <si>
    <t>www.rccplv.com</t>
  </si>
  <si>
    <t>Asian Festival</t>
  </si>
  <si>
    <t>The 31st year for this exciting festival/pageant.</t>
  </si>
  <si>
    <t>225 W Douglas</t>
  </si>
  <si>
    <t>Century II Convention Hall</t>
  </si>
  <si>
    <t>(316) 689-8729</t>
  </si>
  <si>
    <t>email@wichindo.kscoxmail.com</t>
  </si>
  <si>
    <t>www.indoasian.org</t>
  </si>
  <si>
    <t>Downtown Chili &amp; Soup Festival</t>
  </si>
  <si>
    <t>Vote for your favorite chili or soup!</t>
  </si>
  <si>
    <t>Main Street from Ave B to Third</t>
  </si>
  <si>
    <t>(620) 662-2791</t>
  </si>
  <si>
    <t>Eskridge Fall Festival</t>
  </si>
  <si>
    <t>Visit Eskridge for family fun at this annual festival.</t>
  </si>
  <si>
    <t>106 Main St</t>
  </si>
  <si>
    <t>Eskridge</t>
  </si>
  <si>
    <t>(785) 765-4655</t>
  </si>
  <si>
    <t>Ghost &amp; Grape Event</t>
  </si>
  <si>
    <t>124 NW Clay</t>
  </si>
  <si>
    <t>Old Prairie Town</t>
  </si>
  <si>
    <t>Hallowesta 2011</t>
  </si>
  <si>
    <t>Halloween event in Wellsville, Kansas.</t>
  </si>
  <si>
    <t>PO Box 472</t>
  </si>
  <si>
    <t>(785) 883-4532</t>
  </si>
  <si>
    <t>www.WellsvilleChamber.com</t>
  </si>
  <si>
    <t>Madison Fall Fest</t>
  </si>
  <si>
    <t>Fall and Halloween activities.</t>
  </si>
  <si>
    <t>Madison</t>
  </si>
  <si>
    <t>(620) 437-2031</t>
  </si>
  <si>
    <t>ballardc@yahoo.com</t>
  </si>
  <si>
    <t>Mildale Farm Fall Fest</t>
  </si>
  <si>
    <t>Bring the family and spend the day exploring the Mildale Farm property!</t>
  </si>
  <si>
    <t>35250 W. 199th</t>
  </si>
  <si>
    <t>Edgerton</t>
  </si>
  <si>
    <t>(913) 831-3355</t>
  </si>
  <si>
    <t>Oktoberfest in Abilene</t>
  </si>
  <si>
    <t>Abilene Civic Center</t>
  </si>
  <si>
    <t>201 NW Second Street</t>
  </si>
  <si>
    <t>(785) 263-2231</t>
  </si>
  <si>
    <t>(800) 569-5915</t>
  </si>
  <si>
    <t>tourism@abilenecityhall.com</t>
  </si>
  <si>
    <t>www.abilenekansas.org</t>
  </si>
  <si>
    <t>The 5th!</t>
  </si>
  <si>
    <t>The Intergalactic Nemesis</t>
  </si>
  <si>
    <t>Period-sci-fi-horror-suspense-comedy-romance for the whole family.</t>
  </si>
  <si>
    <t>The Senior Class</t>
  </si>
  <si>
    <t>Trick-or-Treat OFF The Street At Mahaffie</t>
  </si>
  <si>
    <t>Wear your costume and bring a treat container....</t>
  </si>
  <si>
    <t>mahaffie@olatheks.org</t>
  </si>
  <si>
    <t>Trick-or-Treating</t>
  </si>
  <si>
    <t>Trick-or-treating for kids.</t>
  </si>
  <si>
    <t>7315 W. 79th Street</t>
  </si>
  <si>
    <t>(913) 642-2222</t>
  </si>
  <si>
    <t>www.downtownop.org</t>
  </si>
  <si>
    <t>Lawrence ArtWalk 2011</t>
  </si>
  <si>
    <t>17th annual self-guided tour of Lawrence artists' studios.</t>
  </si>
  <si>
    <t>Throughout Lawrence</t>
  </si>
  <si>
    <t>Various Locations</t>
  </si>
  <si>
    <t>(785) 865-4254</t>
  </si>
  <si>
    <t>http://visitlawrence.com/events/5014/lawrence-artwalk-2011</t>
  </si>
  <si>
    <t>Winding down to Winter</t>
  </si>
  <si>
    <t>Last chance at Walters' Pumpkin Patch!</t>
  </si>
  <si>
    <t>Herbie Hancock</t>
  </si>
  <si>
    <t>Legendary jazz pianist, composer and bandleader.</t>
  </si>
  <si>
    <t>McCain Performance Series: "Mozart's Requiem" Munich Symphony Orchestra</t>
  </si>
  <si>
    <t>Featuring Philippe Entremont and Gloria dei Cantores.</t>
  </si>
  <si>
    <t>Children's Haunted House</t>
  </si>
  <si>
    <t>Visit the Santa Fe Depot as it is transformed into a festive children's Halloween haunted house.</t>
  </si>
  <si>
    <t>7th Ave and Main St</t>
  </si>
  <si>
    <t>Santa Fe Depot</t>
  </si>
  <si>
    <t>info@prairiespirittrail.org</t>
  </si>
  <si>
    <t>www.prairiespirittrail.org</t>
  </si>
  <si>
    <t>Downtown Lawrence Halloween Trick-or-Treat</t>
  </si>
  <si>
    <t>Downtown merchants greet children with sweet treats and Halloween trinkets.</t>
  </si>
  <si>
    <t>600-1100 Massachusetts</t>
  </si>
  <si>
    <t>Legends of Old Boot Hill</t>
  </si>
  <si>
    <t>Interesting program to learn about the history of oldest boot hill cemetery west of the Mississippi.</t>
  </si>
  <si>
    <t>18th and Fort</t>
  </si>
  <si>
    <t>(785) 628-2624</t>
  </si>
  <si>
    <t>(785) 628-0386</t>
  </si>
  <si>
    <t>codirector@elliscountyhistoricalsociety.org</t>
  </si>
  <si>
    <t>www.elliscountyhistoricalmuseum.org</t>
  </si>
  <si>
    <t>Kansans Tell Their Stories</t>
  </si>
  <si>
    <t>Kansas Humanities Council traveling exhibition in honor of Kansas 150th Celebration.</t>
  </si>
  <si>
    <t>208 E. 8th St.</t>
  </si>
  <si>
    <t>Kinsley</t>
  </si>
  <si>
    <t>(620) 659-3341</t>
  </si>
  <si>
    <t>director@kinsleylibrary.info</t>
  </si>
  <si>
    <t>www.kinsleylibrary.info</t>
  </si>
  <si>
    <t>Kansans Tell Their Stories Exhibit - Kinsley</t>
  </si>
  <si>
    <t>208 E 8th St</t>
  </si>
  <si>
    <t>Kinsley Library</t>
  </si>
  <si>
    <t>Strawberry Hill Christmas Tree Farm</t>
  </si>
  <si>
    <t>Join families and friends as you experience a traditional Christmas opportunity.</t>
  </si>
  <si>
    <t>794 Hwy 40</t>
  </si>
  <si>
    <t>(785) 841-0916</t>
  </si>
  <si>
    <t>(785) 841-2266</t>
  </si>
  <si>
    <t>info@strawberryhillchristmas.com</t>
  </si>
  <si>
    <t>www.strawberryhillchristmas.com</t>
  </si>
  <si>
    <t>Downtown Holiday Open House Weekend</t>
  </si>
  <si>
    <t>Times Vary - Depends on Store Hours</t>
  </si>
  <si>
    <t>Downtown Abilene</t>
  </si>
  <si>
    <t>Third &amp; Buckeye</t>
  </si>
  <si>
    <t>Celebration of Freedom</t>
  </si>
  <si>
    <t>Annual celebration of our veterans</t>
  </si>
  <si>
    <t>Various</t>
  </si>
  <si>
    <t>(316) 321-3150</t>
  </si>
  <si>
    <t>shirley@eldoradochamber.com</t>
  </si>
  <si>
    <t>http://www.360eldorado.com/CivicOrganizations/TheElDoradoChamberofCommerce.html</t>
  </si>
  <si>
    <t>Robert Sudlow – Heart of the Prairie</t>
  </si>
  <si>
    <t>Robert Sudlow – Heart of the Prairie.</t>
  </si>
  <si>
    <t>3113 SW Huntoon</t>
  </si>
  <si>
    <t>(785) 233-0300</t>
  </si>
  <si>
    <t>JamFest</t>
  </si>
  <si>
    <t>Downtown Hays Holiday Open House Weekend</t>
  </si>
  <si>
    <t>Weekend to kick-off the FrostFest Downtown Dollars Giveaway!</t>
  </si>
  <si>
    <t>2700 Vine</t>
  </si>
  <si>
    <t>All Veterans Tribute Celebration</t>
  </si>
  <si>
    <t>Honoring veterans with parade, memorial service, veterans' recognition and USO show.</t>
  </si>
  <si>
    <t>719 Commercial</t>
  </si>
  <si>
    <t>Citywide</t>
  </si>
  <si>
    <t>(620) 342-1803</t>
  </si>
  <si>
    <t>(800) 279-3730</t>
  </si>
  <si>
    <t>(620) 342-3223</t>
  </si>
  <si>
    <t>cbryan@emporiakschamber.org</t>
  </si>
  <si>
    <t>www.emporiakschamber.org</t>
  </si>
  <si>
    <t>Manhattan Arts Center Theatre Production "A Midsummer Night’s Dream"</t>
  </si>
  <si>
    <t>http://www.manhattanarts.org/content/?keyword=theatre</t>
  </si>
  <si>
    <t>11th Annual Cherokee Veterans Pow Wow</t>
  </si>
  <si>
    <t>11th Annual Cherokee Veterans Pow Wow.</t>
  </si>
  <si>
    <t>700 Zoo Parkway</t>
  </si>
  <si>
    <t>Big Gage Shelter House</t>
  </si>
  <si>
    <t>(785) 266-8148</t>
  </si>
  <si>
    <t>39th Annual Sunflower Arts &amp; Craft Show &amp; Home Based Business Expo</t>
  </si>
  <si>
    <t>Craft Vendors from Oklahoma and Kansas show their crafts. Home Based Business vendors are welcome</t>
  </si>
  <si>
    <t>130 E Main</t>
  </si>
  <si>
    <t>Anthony</t>
  </si>
  <si>
    <t>(620) 842-5456</t>
  </si>
  <si>
    <t>(620) 842-3929</t>
  </si>
  <si>
    <t>info@anthonychamber.com</t>
  </si>
  <si>
    <t>www.anthonychamber.com</t>
  </si>
  <si>
    <t>Capital City Nissan "Psycho 43" Adventure Race</t>
  </si>
  <si>
    <t>Race the endless possibilities of the Flint Hills!</t>
  </si>
  <si>
    <t>Lake Adventures-Acorns Resort</t>
  </si>
  <si>
    <t>3710 Farnum Creek Rd</t>
  </si>
  <si>
    <t>(785) 307-1901</t>
  </si>
  <si>
    <t>extremekansas@yahoo.com</t>
  </si>
  <si>
    <t>www.adventureracekansas.com</t>
  </si>
  <si>
    <t>Cattlemen's Day</t>
  </si>
  <si>
    <t>Celebrate ranching heritage with a full day of family fun.</t>
  </si>
  <si>
    <t>Downtown Eureka</t>
  </si>
  <si>
    <t>(620) 583-5838</t>
  </si>
  <si>
    <t>masseyeureka@aol.com</t>
  </si>
  <si>
    <t>Patriotism</t>
  </si>
  <si>
    <t>201 E. Central</t>
  </si>
  <si>
    <t>Down Town El Dorado</t>
  </si>
  <si>
    <t>(316) 321-5419</t>
  </si>
  <si>
    <t>http://360eldorado.com</t>
  </si>
  <si>
    <t>Christmas Open House</t>
  </si>
  <si>
    <t>Join us as we usher in the holiday season with special shopping from 9 am to 6 pm.</t>
  </si>
  <si>
    <t>502 Broadway</t>
  </si>
  <si>
    <t>(620) 285-6916</t>
  </si>
  <si>
    <t>(800) 747-6919</t>
  </si>
  <si>
    <t>(620) 285-6917</t>
  </si>
  <si>
    <t>chamber@larnedks.org</t>
  </si>
  <si>
    <t>www.larnedks.org</t>
  </si>
  <si>
    <t>Funky Mama</t>
  </si>
  <si>
    <t>Rockin' Mom who writes rockin' music for kids and their families!</t>
  </si>
  <si>
    <t>GW County Historical Society</t>
  </si>
  <si>
    <t>Cattlemen's Day special program.</t>
  </si>
  <si>
    <t>120 W 4th Street</t>
  </si>
  <si>
    <t>(620) 583-6682</t>
  </si>
  <si>
    <t>gwhistory@sbcglobal.net</t>
  </si>
  <si>
    <t>Holiday Craft Fair</t>
  </si>
  <si>
    <t>Craft Fair with over 40 vendors. Crafts, food, gifts.</t>
  </si>
  <si>
    <t>701 E. North Street</t>
  </si>
  <si>
    <t>Lincoln High School</t>
  </si>
  <si>
    <t>Lincoln</t>
  </si>
  <si>
    <t>(785) 524-4714</t>
  </si>
  <si>
    <t>NUCS Sanctioned Western Kansas Gun Dog Competition</t>
  </si>
  <si>
    <t>2nd Gun Dog Competition of 2011 and NUCS Sanctioned Western Kansas Gun Dog Competition.</t>
  </si>
  <si>
    <t>25047 160 Ave</t>
  </si>
  <si>
    <t>Pheasant Runn Hunting Club</t>
  </si>
  <si>
    <t>Collyer</t>
  </si>
  <si>
    <t>(785) 635-2030</t>
  </si>
  <si>
    <t>mmwilliam@eaglecom.net</t>
  </si>
  <si>
    <t>www.pheasantrunn.com</t>
  </si>
  <si>
    <t>Tails on the Trail</t>
  </si>
  <si>
    <t>Trail of Tears Memorial Walk</t>
  </si>
  <si>
    <t>Yoder Turkey Dinner</t>
  </si>
  <si>
    <t>49th annual home-cooked turkey dinner.</t>
  </si>
  <si>
    <t>3506 E Longview Rd</t>
  </si>
  <si>
    <t>(one mile north of Yoder)</t>
  </si>
  <si>
    <t>Yoder</t>
  </si>
  <si>
    <t>(620) 663-4244</t>
  </si>
  <si>
    <t>judyk@shmc-online.net</t>
  </si>
  <si>
    <t>www.shmcfamily.org</t>
  </si>
  <si>
    <t>French Market</t>
  </si>
  <si>
    <t>Annual benefit for the arts center features great food and unique shopping.</t>
  </si>
  <si>
    <t>624 N Pershing Ave</t>
  </si>
  <si>
    <t>Baker Arts Center</t>
  </si>
  <si>
    <t>(620) 624-2810</t>
  </si>
  <si>
    <t>(620) 624-7726</t>
  </si>
  <si>
    <t>bakerartscenter@sbcglobal.net</t>
  </si>
  <si>
    <t>www.bakerartscenter.org</t>
  </si>
  <si>
    <t>Holiday Arts &amp; Crafts Fair</t>
  </si>
  <si>
    <t>Annual, juried arts &amp; craft show at Ft Leavenworth.</t>
  </si>
  <si>
    <t>4th St &amp; Metropolitan Ave</t>
  </si>
  <si>
    <t>Battle Command Training Cntr</t>
  </si>
  <si>
    <t>Ft Leavenworth</t>
  </si>
  <si>
    <t>(913) 651-9454</t>
  </si>
  <si>
    <t>Holiday Open House Weekend</t>
  </si>
  <si>
    <t>Bring the family to McPherson for a fun start to your holiday shopping.</t>
  </si>
  <si>
    <t>Victorian Tea &amp; Christmas Open House</t>
  </si>
  <si>
    <t>Annual Victorian Tea.</t>
  </si>
  <si>
    <t>105 N Main St</t>
  </si>
  <si>
    <t>(620) 628-4484</t>
  </si>
  <si>
    <t>cherylle6557@yahoo.com</t>
  </si>
  <si>
    <t>www.threesisterstea.com</t>
  </si>
  <si>
    <t>Veterans Day Celebration</t>
  </si>
  <si>
    <t>The 2nd largest Veteran's Day celebration in Kansas is in downtown Ottawa.</t>
  </si>
  <si>
    <t>401 S Main St</t>
  </si>
  <si>
    <t>(785) 242-5419</t>
  </si>
  <si>
    <t>hmayes@ottawavets.org</t>
  </si>
  <si>
    <t>www.ottawavets.org</t>
  </si>
  <si>
    <t>"Crazy For You."</t>
  </si>
  <si>
    <t>Gage Park</t>
  </si>
  <si>
    <t>(785) 368-0191</t>
  </si>
  <si>
    <t>www.topeka.org/parksrec/hocker</t>
  </si>
  <si>
    <t>Wild Spirit</t>
  </si>
  <si>
    <t>Photographic exhibit of the animals who live at Rolling Hills Wildlife Adventure.</t>
  </si>
  <si>
    <t>Wrap It Up art exhibit and sale</t>
  </si>
  <si>
    <t>Find that perfect Christmas gift at the Manhattan Arts Center's most popular commercial exhibit.</t>
  </si>
  <si>
    <t>Manhattan Arts Center</t>
  </si>
  <si>
    <t>marketing@manhattanarts.org</t>
  </si>
  <si>
    <t>2 Friends Tour Michael W. Smith &amp; Amy Grant</t>
  </si>
  <si>
    <t>2 Friends Tour Michael W. Smith &amp; Amy Grant.</t>
  </si>
  <si>
    <t>Antonino Fall Feast</t>
  </si>
  <si>
    <t>Old fashioned German roast beef dinner.</t>
  </si>
  <si>
    <t>Our Lady of Help Christians Church</t>
  </si>
  <si>
    <t>697 210th Ave</t>
  </si>
  <si>
    <t>Antonino</t>
  </si>
  <si>
    <t>(785) 625-5494</t>
  </si>
  <si>
    <t>dgrss49@hotmail.com</t>
  </si>
  <si>
    <t>www.volgagerman.net/Antonino_ks.htm</t>
  </si>
  <si>
    <t>Combined Choirs' Choral Evensong and Brass Prelude</t>
  </si>
  <si>
    <t>Combined Choirs' Choral Evensong and Brass Prelude.</t>
  </si>
  <si>
    <t>K-State Men's Basketball</t>
  </si>
  <si>
    <t>Cheer on K-State Men's Basketball.</t>
  </si>
  <si>
    <t>http://www.kstatesports.com</t>
  </si>
  <si>
    <t>Cowley Jazz Band Concert</t>
  </si>
  <si>
    <t>Annual Cowley Jazz Band Concert.</t>
  </si>
  <si>
    <t>Pediments and Impediments - Kansas History Through Architecture with Christy Davis</t>
  </si>
  <si>
    <t>11110 Johnson Drive</t>
  </si>
  <si>
    <t>Shawnee Town Museum</t>
  </si>
  <si>
    <t>66203-2750</t>
  </si>
  <si>
    <t>(913) 248-2360</t>
  </si>
  <si>
    <t>www.shawneetown.org</t>
  </si>
  <si>
    <t>Sinbad In Concert</t>
  </si>
  <si>
    <t>Sinbad In Concert presented by the African American Male Leadership Council.</t>
  </si>
  <si>
    <t>An Evening with David Sedaris</t>
  </si>
  <si>
    <t>One of America’s foremost humor writers.</t>
  </si>
  <si>
    <t>Share our Culture Lecture Series: Native Foods</t>
  </si>
  <si>
    <t>The Golden Dragon Acrobats</t>
  </si>
  <si>
    <t>The Golden Dragon Acrobats is a family friendly show.</t>
  </si>
  <si>
    <t>Hutchinson's Historic Fox Theatre</t>
  </si>
  <si>
    <t>18 East First</t>
  </si>
  <si>
    <t>(620) 663-1981</t>
  </si>
  <si>
    <t>(877) 369-7469</t>
  </si>
  <si>
    <t>thefox@hutchinsonfox.com</t>
  </si>
  <si>
    <t>www.hutchinsonfox.com</t>
  </si>
  <si>
    <t>Veteran's Day Celebration</t>
  </si>
  <si>
    <t>A day of honoring Barber County Veterans including Veteran's recognition ceremony.</t>
  </si>
  <si>
    <t>Family Life Center &amp; Veterans Memorial</t>
  </si>
  <si>
    <t>South Main &amp; Hwy 160</t>
  </si>
  <si>
    <t>Medicine Lodge</t>
  </si>
  <si>
    <t>(620) 886-5608</t>
  </si>
  <si>
    <t>hartley@cyberlodg.com</t>
  </si>
  <si>
    <t>K-State Theatre &amp; Dance: The Adding Machine</t>
  </si>
  <si>
    <t>K-State Theatre department presents "The Adding Machine"</t>
  </si>
  <si>
    <t>http://www.k-state.edu/theatre</t>
  </si>
  <si>
    <t>Wear purple and cheer on the Wildcats!</t>
  </si>
  <si>
    <t>Les Gilliam and his Silver Lake Band</t>
  </si>
  <si>
    <t>The Oklahoma Balladeer...Keeping western music alive.</t>
  </si>
  <si>
    <t>Pheasant Heaven Charities Feed</t>
  </si>
  <si>
    <t>Meal &amp; gathering the night before opening day of pheasant season. Proceeds go to charities.</t>
  </si>
  <si>
    <t>210 E 1st</t>
  </si>
  <si>
    <t>Hugoton</t>
  </si>
  <si>
    <t>(620) 544-2189</t>
  </si>
  <si>
    <t>Veteran's Day Celebration.</t>
  </si>
  <si>
    <t>701 N Kansas Ave</t>
  </si>
  <si>
    <t>Great Overland Station</t>
  </si>
  <si>
    <t>(785) 232-5533</t>
  </si>
  <si>
    <t>www.greatoverlandastation.com</t>
  </si>
  <si>
    <t>Veteran's Day Parade</t>
  </si>
  <si>
    <t>Largest/oldest Veteran's Day observance west of the Mississippi River.</t>
  </si>
  <si>
    <t>Downtown Leavenworth</t>
  </si>
  <si>
    <t>(913) 651-0410</t>
  </si>
  <si>
    <t>(800) 844-4114</t>
  </si>
  <si>
    <t>dsmith8325@kc.rr.com</t>
  </si>
  <si>
    <t>www.lvvetsparade.com</t>
  </si>
  <si>
    <t>Largest/oldest observance west of the Mississippi River.</t>
  </si>
  <si>
    <t>Cherokee Street</t>
  </si>
  <si>
    <t>Veteran's Day Program</t>
  </si>
  <si>
    <t>Veteran's Day Ceremony</t>
  </si>
  <si>
    <t>Veterans Day Parade and Salute</t>
  </si>
  <si>
    <t>Annual Eskridge Veteran's Day parade!!!</t>
  </si>
  <si>
    <t>Main St</t>
  </si>
  <si>
    <t>Eskridge City Park</t>
  </si>
  <si>
    <t>(785) 449-2621</t>
  </si>
  <si>
    <t>wcedc@embarqmail.com</t>
  </si>
  <si>
    <t>www.wabaunsee.com</t>
  </si>
  <si>
    <t>Laughing Matter</t>
  </si>
  <si>
    <t>Nell Hill's 30th Birthday Celebration</t>
  </si>
  <si>
    <t>Nell Hill's 30th birthday Celebration</t>
  </si>
  <si>
    <t>501 Commercial</t>
  </si>
  <si>
    <t>(913) 367-1086</t>
  </si>
  <si>
    <t>nellhills@lvnworth.com</t>
  </si>
  <si>
    <t>www.nellhills.com</t>
  </si>
  <si>
    <t>Topeka Roadrunners vs. Amarillo Bulls</t>
  </si>
  <si>
    <t>Topeka Roadrunners vs. Amarillo Bulls.</t>
  </si>
  <si>
    <t>3 days of Christmas Open House with coupons and specials through out the Gift Shop.</t>
  </si>
  <si>
    <t>101 S. Main</t>
  </si>
  <si>
    <t>Cimarron</t>
  </si>
  <si>
    <t>(620) 855-2242</t>
  </si>
  <si>
    <t>(620) 855-3616</t>
  </si>
  <si>
    <t>clarkphcy@ucom.net</t>
  </si>
  <si>
    <t>Charlie Cox Runs with Scissors</t>
  </si>
  <si>
    <t>Charlie Cox Runs with Scissors.</t>
  </si>
  <si>
    <t>Buttons 'n Bows Arts &amp; Craft Fair</t>
  </si>
  <si>
    <t>Craft fair offering all handmade crafts including wood, jewelry and more.</t>
  </si>
  <si>
    <t>306 S Juliette</t>
  </si>
  <si>
    <t>Manhattan Catholic School</t>
  </si>
  <si>
    <t>(785) 565-5050</t>
  </si>
  <si>
    <t>rebecca@ksu.edu</t>
  </si>
  <si>
    <t>www.mcscardinals.org</t>
  </si>
  <si>
    <t>Downtown businesses open Sunday afternoon for Holiday shopping.</t>
  </si>
  <si>
    <t>215 S Iliff</t>
  </si>
  <si>
    <t>Hwy 281</t>
  </si>
  <si>
    <t>(620) 886-3417</t>
  </si>
  <si>
    <t>mlchamber@sctelcom.net</t>
  </si>
  <si>
    <t>Hal Holbrook - Mark Twain Tonight!</t>
  </si>
  <si>
    <t>A one-man play devised by Hal Holbrook in which he depicts Mark Twain.</t>
  </si>
  <si>
    <t>Holly Days</t>
  </si>
  <si>
    <t>Holiday arts and crafts show.</t>
  </si>
  <si>
    <t>400 Orchard</t>
  </si>
  <si>
    <t>Morton County Civic Center</t>
  </si>
  <si>
    <t>Elkhart</t>
  </si>
  <si>
    <t>(620) 697-4600</t>
  </si>
  <si>
    <t>(620) 697-2411</t>
  </si>
  <si>
    <t>Homemade Holidays Craft Show</t>
  </si>
  <si>
    <t>Craft Show</t>
  </si>
  <si>
    <t>13th &amp; Ash</t>
  </si>
  <si>
    <t>(785) 242-8618</t>
  </si>
  <si>
    <t>KSU Football</t>
  </si>
  <si>
    <t>KU Football vs Baylor</t>
  </si>
  <si>
    <t>Prairie Patch Craft Show</t>
  </si>
  <si>
    <t>Annual craft show.</t>
  </si>
  <si>
    <t>5056 E K-4 Hwy</t>
  </si>
  <si>
    <t>Southeast of Saline School</t>
  </si>
  <si>
    <t>Gypsum</t>
  </si>
  <si>
    <t>(785) 536-4346</t>
  </si>
  <si>
    <t>cmueller@usd306.org</t>
  </si>
  <si>
    <t>Winemaker's Dinner</t>
  </si>
  <si>
    <t>Elegant dinner at the vineyards.</t>
  </si>
  <si>
    <t>jen.kansaswine@gmail.com</t>
  </si>
  <si>
    <t>Suzanne Farrell Ballet</t>
  </si>
  <si>
    <t>Preserving a dance legacy.</t>
  </si>
  <si>
    <t>Jane Solose</t>
  </si>
  <si>
    <t>Southeast Kansas Farm Toy Show</t>
  </si>
  <si>
    <t>22nd annual toy farm collectors show.</t>
  </si>
  <si>
    <t>509 W Walnut</t>
  </si>
  <si>
    <t>Girard</t>
  </si>
  <si>
    <t>(620) 724-6166</t>
  </si>
  <si>
    <t>(800) 879-1112</t>
  </si>
  <si>
    <t>(620) 231-3178</t>
  </si>
  <si>
    <t>chull@pittsburgareachamber.com</t>
  </si>
  <si>
    <t>www.visitcrawfordcounty.com</t>
  </si>
  <si>
    <t>Cheer on the CATS!</t>
  </si>
  <si>
    <t>Kansas Through the Lens of F. M. Steele with Jim Hoy - Parsons</t>
  </si>
  <si>
    <t>Orphan Trains in Kansas with Marilyn J. Holt</t>
  </si>
  <si>
    <t>1349 K156 Hwy</t>
  </si>
  <si>
    <t>67550-5347</t>
  </si>
  <si>
    <t>Award Winning Quilts from the National Quilt Museum</t>
  </si>
  <si>
    <t>Quilts</t>
  </si>
  <si>
    <t>The Best Christmas Pageant Ever</t>
  </si>
  <si>
    <t>The Family Children's Theatre presents "The Best Christmas Pageant Ever."</t>
  </si>
  <si>
    <t>Mayor's Tree Lighting Ceremony</t>
  </si>
  <si>
    <t>Annual Mayor's Lighting of the Tree.</t>
  </si>
  <si>
    <t>Topeka Roadrunners vs. Springfield Jr. Blues</t>
  </si>
  <si>
    <t>M-Act presents "The Odd Couple"</t>
  </si>
  <si>
    <t>Marysville Area Community Theatre Production.</t>
  </si>
  <si>
    <t>Winter Wonderland</t>
  </si>
  <si>
    <t>Winter Wonderland at Lake Shawnee.</t>
  </si>
  <si>
    <t>Lake Shawnee Recreational Area</t>
  </si>
  <si>
    <t>(785) 232-0597</t>
  </si>
  <si>
    <t>2011 Christmas Parade</t>
  </si>
  <si>
    <t>Annual Christmas Parade</t>
  </si>
  <si>
    <t>Main Street from Ave B to Ninth St</t>
  </si>
  <si>
    <t>(620) 665-5758</t>
  </si>
  <si>
    <t>Christmas Festival &amp; Parade of Lights</t>
  </si>
  <si>
    <t>Annual holdiay event.</t>
  </si>
  <si>
    <t>100 N Santa Fe</t>
  </si>
  <si>
    <t>Santa Fe Avenue</t>
  </si>
  <si>
    <t>www.salinadowntown.com</t>
  </si>
  <si>
    <t>Christmas Tree Lane and Auction</t>
  </si>
  <si>
    <t>See the beautifully decorated Christmas tree lane and shop for wreaths, gifts and crafts.</t>
  </si>
  <si>
    <t>Fox Pavilion</t>
  </si>
  <si>
    <t>(785) 625-3257</t>
  </si>
  <si>
    <t>(785) 625-8557</t>
  </si>
  <si>
    <t>tammey@hacc.info</t>
  </si>
  <si>
    <t>www.hacc.info</t>
  </si>
  <si>
    <t>Annual Fall Craft Show.</t>
  </si>
  <si>
    <t>Agri-Business Building</t>
  </si>
  <si>
    <t>ETHEL</t>
  </si>
  <si>
    <t>America’s foremost post classical string quartet.</t>
  </si>
  <si>
    <t>Lied Center</t>
  </si>
  <si>
    <t>From Agricultural Fields to Air Fields: Women Working in Kansas with Ann Birney</t>
  </si>
  <si>
    <t>1530 E 61st St N</t>
  </si>
  <si>
    <t>Park City Public Library</t>
  </si>
  <si>
    <t>(316) 619-7800</t>
  </si>
  <si>
    <t>Night of Lights</t>
  </si>
  <si>
    <t>This holiday kickoff event features food, fun and auction items.</t>
  </si>
  <si>
    <t>NUPHIMU Sorority Food &amp; Gift Extravaganza</t>
  </si>
  <si>
    <t>Craft fair with food and craft booths.</t>
  </si>
  <si>
    <t>13th and Arcade</t>
  </si>
  <si>
    <t>Max Jones Fieldhouse</t>
  </si>
  <si>
    <t>Goodland</t>
  </si>
  <si>
    <t>(785) 890-5455</t>
  </si>
  <si>
    <t>(888) 824-4222</t>
  </si>
  <si>
    <t>dcmac@st-tel.net</t>
  </si>
  <si>
    <t>www.goodlandnet.com/craftfair/</t>
  </si>
  <si>
    <t>Parade of Lights &amp; Christmas Festival</t>
  </si>
  <si>
    <t>Annual holiday festivities.</t>
  </si>
  <si>
    <t>Santa Fe Ave and Iron Ave</t>
  </si>
  <si>
    <t>Historic Salina Downtown</t>
  </si>
  <si>
    <t>See 'N Sell Craft Show</t>
  </si>
  <si>
    <t>Huge Annual Craft Show!</t>
  </si>
  <si>
    <t>(785) 827-3679</t>
  </si>
  <si>
    <t>maffholder@kansasgirlscouts.org</t>
  </si>
  <si>
    <t>Struggle and Resilience - Kansas during the Great Depression</t>
  </si>
  <si>
    <t>3447 S Meridian Ave</t>
  </si>
  <si>
    <t>Alford Branch Library</t>
  </si>
  <si>
    <t>67217-2151</t>
  </si>
  <si>
    <t>(316) 337-9119</t>
  </si>
  <si>
    <t>VFW's We Did It Craft Fair</t>
  </si>
  <si>
    <t>824 Main</t>
  </si>
  <si>
    <t>(785) 890-3021</t>
  </si>
  <si>
    <t>Tumbleweed Bazaar Arts &amp; Crafts Show</t>
  </si>
  <si>
    <t>Annual arts and crafts show pays tribute to the tumbleweed.</t>
  </si>
  <si>
    <t>1000 W Patterson Ave</t>
  </si>
  <si>
    <t>(620) 952-2434</t>
  </si>
  <si>
    <t>aturserv@pld.com</t>
  </si>
  <si>
    <t>Christmas in Historic Lecompton</t>
  </si>
  <si>
    <t>Three floors of old-time Christmas decorations and trimmings and Vesper music performance.</t>
  </si>
  <si>
    <t>640 E Woodson</t>
  </si>
  <si>
    <t>Lecompton</t>
  </si>
  <si>
    <t>(785) 887-6275</t>
  </si>
  <si>
    <t>lanemuseum@aol.com</t>
  </si>
  <si>
    <t>www.lecomptonkansas.com</t>
  </si>
  <si>
    <t>2011 Holiday Bazaar</t>
  </si>
  <si>
    <t>Kick off the holiday shopping season and discover creative gifts.</t>
  </si>
  <si>
    <t>115 W 11th St</t>
  </si>
  <si>
    <t>Community Building</t>
  </si>
  <si>
    <t>(785) 832-7920</t>
  </si>
  <si>
    <t>From Trails to War</t>
  </si>
  <si>
    <t>Presentation on the effect of the Civil War on the Santa Fe Trail.</t>
  </si>
  <si>
    <t>The Real West</t>
  </si>
  <si>
    <t>Reno County Toy Run</t>
  </si>
  <si>
    <t>Toys for Tots - Reno County Toy Run.</t>
  </si>
  <si>
    <t>Various Locations throughout the City</t>
  </si>
  <si>
    <t>(620) 662-2972</t>
  </si>
  <si>
    <t>Zeta Mu's Craft Show</t>
  </si>
  <si>
    <t>Christmas craft fair and food booths. Annual Event in November</t>
  </si>
  <si>
    <t>718 Fairway Dr</t>
  </si>
  <si>
    <t>Russell</t>
  </si>
  <si>
    <t>(785) 483-5351</t>
  </si>
  <si>
    <t>(800) 658-4686</t>
  </si>
  <si>
    <t>chamber@russellks.org</t>
  </si>
  <si>
    <t>Isle of Lights</t>
  </si>
  <si>
    <t>Spectacular Christmas Lights Display</t>
  </si>
  <si>
    <t>N Main and Welfelt Dr</t>
  </si>
  <si>
    <t>(620) 221-2418</t>
  </si>
  <si>
    <t>Annual Art Auction</t>
  </si>
  <si>
    <t>Annual Art Auction with a wide range of items available.</t>
  </si>
  <si>
    <t>126 E Lincoln Ave</t>
  </si>
  <si>
    <t>(785) 524-3241</t>
  </si>
  <si>
    <t>jharlow@nckcn.com</t>
  </si>
  <si>
    <t>www.lincolnartcenter.org</t>
  </si>
  <si>
    <t>Bramlage Coliseum</t>
  </si>
  <si>
    <t>Trail of Lights</t>
  </si>
  <si>
    <t>Beautiful Lights</t>
  </si>
  <si>
    <t>2123 Main Street</t>
  </si>
  <si>
    <t>Brit Spaugh Park and Zoo, Veteran's Lake, Main Street Great Bend</t>
  </si>
  <si>
    <t>terryhoff@greatbendks.net</t>
  </si>
  <si>
    <t>Christmas on the Square</t>
  </si>
  <si>
    <t>Downtown holiday light festival around the historic Courthouse square</t>
  </si>
  <si>
    <t>Holiday Ceremony and Santa's Arrival</t>
  </si>
  <si>
    <t>Annual holiday kickoff.</t>
  </si>
  <si>
    <t>901 Massachusetts</t>
  </si>
  <si>
    <t>Phillipsburg Christmas Opening and "Celebration of Lights" Festival</t>
  </si>
  <si>
    <t>The Chamber of Commerce invites you to Phillipsburg for the annual Christmas Opening.</t>
  </si>
  <si>
    <t>425 F St.</t>
  </si>
  <si>
    <t>Phillipsburg</t>
  </si>
  <si>
    <t>(785) 543-2321</t>
  </si>
  <si>
    <t>(785) 543-0038</t>
  </si>
  <si>
    <t>cvbcham@ruraltel.net</t>
  </si>
  <si>
    <t>www.phillipsburgks.us</t>
  </si>
  <si>
    <t>The Oak Ridge Boys Christmas Show</t>
  </si>
  <si>
    <t>The Oak Ridge Boys Christmas Show.</t>
  </si>
  <si>
    <t>Chase County Country Christmas</t>
  </si>
  <si>
    <t>A Holiday Festival in Chase County, the Heart of the beautiful Flint Hills.</t>
  </si>
  <si>
    <t>318 Broadway</t>
  </si>
  <si>
    <t>Throughout Chase County</t>
  </si>
  <si>
    <t>(620) 273-8469</t>
  </si>
  <si>
    <t>(800) 431-6344</t>
  </si>
  <si>
    <t>chasechamber@sbcglobal.net</t>
  </si>
  <si>
    <t>chasecountychamber.org</t>
  </si>
  <si>
    <t>Holiday Luminary Walk</t>
  </si>
  <si>
    <t>Stroll through candlelit trails.</t>
  </si>
  <si>
    <t>A Christmas Carol</t>
  </si>
  <si>
    <t>A Christmas Carol, a holiday musical for the whole family.</t>
  </si>
  <si>
    <t>Memory Lane Christmas Light Display &amp; Tree Farm</t>
  </si>
  <si>
    <t>Over 30+ various light displays on the mile-long road and Christmas Tree Farm on site.</t>
  </si>
  <si>
    <t>(800) 296-6745</t>
  </si>
  <si>
    <t>Seelye Mansion Christmas Tours</t>
  </si>
  <si>
    <t>Tour the Mansion all decorated for Christmas, call for hours.</t>
  </si>
  <si>
    <t>Seelye Mansion</t>
  </si>
  <si>
    <t>1105 N Buckeye</t>
  </si>
  <si>
    <t>(785) 263-1084</t>
  </si>
  <si>
    <t>terryt@access-one.com</t>
  </si>
  <si>
    <t>http://www.seelyemansion.org/</t>
  </si>
  <si>
    <t>11th Annual Christmas Bazaar</t>
  </si>
  <si>
    <t>Trego County's Home Based Business Association presents their annual Christmas Bazaar.</t>
  </si>
  <si>
    <t>116 N 13th St</t>
  </si>
  <si>
    <t>Trego County Fairgrounds</t>
  </si>
  <si>
    <t>(785) 743-6418</t>
  </si>
  <si>
    <t>travel@wakeeney.org</t>
  </si>
  <si>
    <t>www.wakeeney.org</t>
  </si>
  <si>
    <t>61st Annual Christmas Tree Lighting</t>
  </si>
  <si>
    <t>Since 1950, the official tree lighting ceremony for "the Christmas City of the High Plains."</t>
  </si>
  <si>
    <t>200 N Main</t>
  </si>
  <si>
    <t>(785) 743-8325</t>
  </si>
  <si>
    <t>(877) 962-7248</t>
  </si>
  <si>
    <t>Annual Mayor's Christmas Tree Lighting Ceremony</t>
  </si>
  <si>
    <t>Mayor Allison lights the Christmas Tree.</t>
  </si>
  <si>
    <t>1400 Main Street</t>
  </si>
  <si>
    <t>Jack Kilby Square</t>
  </si>
  <si>
    <t>Bizarre Bazaar</t>
  </si>
  <si>
    <t>Annual event with 100 local and area artists selling their creations.</t>
  </si>
  <si>
    <t>940 New Hampshire</t>
  </si>
  <si>
    <t>Lawrence Arts Center</t>
  </si>
  <si>
    <t>(785) 843-2787</t>
  </si>
  <si>
    <t>Let us help you get in the spirit!</t>
  </si>
  <si>
    <t>212 W Golf Link Rd</t>
  </si>
  <si>
    <t>www.kansaswine.com</t>
  </si>
  <si>
    <t>Christmas Parade</t>
  </si>
  <si>
    <t>1400 Main</t>
  </si>
  <si>
    <t>(620) 792-1321</t>
  </si>
  <si>
    <t>sekrom@sunflowerdiv.com</t>
  </si>
  <si>
    <t>Cuba Hometown Christmas</t>
  </si>
  <si>
    <t>Experience Christmas in the community of Cuba.</t>
  </si>
  <si>
    <t>&amp; Cuba Community Hall</t>
  </si>
  <si>
    <t>Cuba</t>
  </si>
  <si>
    <t>(785) 729-3632</t>
  </si>
  <si>
    <t>Evening of Lights Christmas Parade</t>
  </si>
  <si>
    <t>41st annual evening Christmas parade with lighted floats.</t>
  </si>
  <si>
    <t>4th Ave and Oak St</t>
  </si>
  <si>
    <t>Town Square</t>
  </si>
  <si>
    <t>(785) 448-6767</t>
  </si>
  <si>
    <t>garnettchamber@embarqmail.com</t>
  </si>
  <si>
    <t>www.garnettchamber.org</t>
  </si>
  <si>
    <t>Festival of Lights Parade</t>
  </si>
  <si>
    <t>Festival of Lights parade &amp; tree lighting in historic downtown.</t>
  </si>
  <si>
    <t>(785) 594-3200</t>
  </si>
  <si>
    <t>info@baldwincitychamber.com</t>
  </si>
  <si>
    <t>www.baldwincitychamber.com</t>
  </si>
  <si>
    <t>Holiday Art Show</t>
  </si>
  <si>
    <t>Holiday Art Show in the newly renovated Lumberyard Arts Center.</t>
  </si>
  <si>
    <t>718 High St</t>
  </si>
  <si>
    <t>(785) 766-1793</t>
  </si>
  <si>
    <t>bcac.info@gmail.com</t>
  </si>
  <si>
    <t>http://www.baldwinarts.org/</t>
  </si>
  <si>
    <t>Homemade for the Holidays Arts &amp; Craft Show</t>
  </si>
  <si>
    <t>Large arts and crafts show featuring more than 50 vendors.</t>
  </si>
  <si>
    <t>Avery Ave and Kimball Ave</t>
  </si>
  <si>
    <t>Pottorf Hall, CiCo Park</t>
  </si>
  <si>
    <t>(785) 293-5712</t>
  </si>
  <si>
    <t>KSHSAA 2-1A State Football Championships</t>
  </si>
  <si>
    <t>KSHSAA 2-1A state football championships held at Lewis Field Stadium.</t>
  </si>
  <si>
    <t>2nd and Elm</t>
  </si>
  <si>
    <t>Fort Hays State University-Lewis Field Stadium</t>
  </si>
  <si>
    <t>KSHSAA 4A State Football Championship</t>
  </si>
  <si>
    <t>4A State Football Championship</t>
  </si>
  <si>
    <t>650 E Crawford</t>
  </si>
  <si>
    <t>Salina Central High School, Salina Stadium</t>
  </si>
  <si>
    <t>Go CATS!</t>
  </si>
  <si>
    <t>KU Football vs Missouri</t>
  </si>
  <si>
    <t>University of Kansas Football.</t>
  </si>
  <si>
    <t>Arrowhead Stadium</t>
  </si>
  <si>
    <t>Kansas City, MO</t>
  </si>
  <si>
    <t>(785) 864-3141</t>
  </si>
  <si>
    <t>Santa's Christmas Parade</t>
  </si>
  <si>
    <t>Santa comes to town with a new parade that will include music, cars, floats &amp; more.</t>
  </si>
  <si>
    <t>8th &amp; Broadway</t>
  </si>
  <si>
    <t>Downtown Marysville</t>
  </si>
  <si>
    <t>www.marysvillekansaschamber.org</t>
  </si>
  <si>
    <t>State High School Football Championship</t>
  </si>
  <si>
    <t>State Championship Football game.</t>
  </si>
  <si>
    <t>600 East 11th</t>
  </si>
  <si>
    <t>Gowans Stadium</t>
  </si>
  <si>
    <t>(620) 665-3530</t>
  </si>
  <si>
    <t>Ice Skating Rink</t>
  </si>
  <si>
    <t>Fun for all!</t>
  </si>
  <si>
    <t>61st Annual Christmas City of the High Plains</t>
  </si>
  <si>
    <t>The Christmas City of the High Plains lights up the prairie skies with over 6,000 colored lights.</t>
  </si>
  <si>
    <t>PO Box 275</t>
  </si>
  <si>
    <t>Christmas Lighting Festival</t>
  </si>
  <si>
    <t>Shops open with sweet treats, carriage rides, music and parade.</t>
  </si>
  <si>
    <t>4th St</t>
  </si>
  <si>
    <t>Scandia</t>
  </si>
  <si>
    <t>(785) 335-3303</t>
  </si>
  <si>
    <t>Kanza Bowl</t>
  </si>
  <si>
    <t>6th &amp; MacVicar</t>
  </si>
  <si>
    <t>(785) 295-3750</t>
  </si>
  <si>
    <t>Festival of Trees</t>
  </si>
  <si>
    <t>Christmas Trees</t>
  </si>
  <si>
    <t>Christmas in Old Dodge City</t>
  </si>
  <si>
    <t>Christmas parade of lights and a Chili cook off. Free bowls of chili for everyone.</t>
  </si>
  <si>
    <t>(620) 225-4151</t>
  </si>
  <si>
    <t>(800) 653-9378</t>
  </si>
  <si>
    <t>cvb@dodgecity.org</t>
  </si>
  <si>
    <t>www.visitdodgecity.org</t>
  </si>
  <si>
    <t>Pittsburg Parks and Recreation Christmas Parade</t>
  </si>
  <si>
    <t>Annual Christmas Parade in downtown Pittsburg.</t>
  </si>
  <si>
    <t>Pittsburg</t>
  </si>
  <si>
    <t>(620) 231-1212</t>
  </si>
  <si>
    <t>2011 Festival of Trees</t>
  </si>
  <si>
    <t>Annual display of uniquely decorated Christmas Trees.</t>
  </si>
  <si>
    <t>642 Massachusetts</t>
  </si>
  <si>
    <t>(785) 843-2085</t>
  </si>
  <si>
    <t>Annual display and auction of uniquely decorated Christmas trees.</t>
  </si>
  <si>
    <t>33rd annual community Christmas parade welcomes Santa and the holiday season.</t>
  </si>
  <si>
    <t>Commercial St</t>
  </si>
  <si>
    <t>4th-12th Ave</t>
  </si>
  <si>
    <t>(620) 342-1600</t>
  </si>
  <si>
    <t>jleeds@emporiakschamber.org</t>
  </si>
  <si>
    <t>McCain Performance Series: Cirque Mechanics "Boom Town"</t>
  </si>
  <si>
    <t>Jaw-dropping acrobatics and Old West adventure</t>
  </si>
  <si>
    <t>Arma Christmas Parade</t>
  </si>
  <si>
    <t>Annual Christmas parade in downtown Arma.</t>
  </si>
  <si>
    <t>Arma</t>
  </si>
  <si>
    <t>Christmas Light Parade</t>
  </si>
  <si>
    <t>Watch Main Street Light up for the holiday season with floats dressed up in holiday lights.</t>
  </si>
  <si>
    <t>Girard Christmas Parade</t>
  </si>
  <si>
    <t>Annual Christmas Parade in downtown Girard.</t>
  </si>
  <si>
    <t>(620) 724-6216</t>
  </si>
  <si>
    <t>Holiday Parade of Lights</t>
  </si>
  <si>
    <t>Nighttime Christmas parade along brick streets in historic downtown.</t>
  </si>
  <si>
    <t>600 State St</t>
  </si>
  <si>
    <t>Holiday Happenings</t>
  </si>
  <si>
    <t>Holiday Happenings a traditional Victorian candlelight dinner.</t>
  </si>
  <si>
    <t>Old Praire Town at Ward Meade</t>
  </si>
  <si>
    <t>Agriculture Hall</t>
  </si>
  <si>
    <t>(785) 266-8686</t>
  </si>
  <si>
    <t>Christmas Tree Lane</t>
  </si>
  <si>
    <t>Come and enjoy the sparkling Christmas trees along both sides of Buckeye and Third Streets.</t>
  </si>
  <si>
    <t>Buckeye and Third Streets</t>
  </si>
  <si>
    <t>(785) 263-1770</t>
  </si>
  <si>
    <t>visitus1@eaglecom.net</t>
  </si>
  <si>
    <t>www.abileneks.com</t>
  </si>
  <si>
    <t>Story of Christmas</t>
  </si>
  <si>
    <t>An outdoor community art exhibit.</t>
  </si>
  <si>
    <t>200 W 2nd St</t>
  </si>
  <si>
    <t>(785) 890-3515</t>
  </si>
  <si>
    <t>cvb@goodlandnet.com</t>
  </si>
  <si>
    <t>Floats, bands and marching groups.</t>
  </si>
  <si>
    <t>chamber@coffeyville.com</t>
  </si>
  <si>
    <t>www.coffeyvillechamber.org</t>
  </si>
  <si>
    <t>It's a Wonderful Life: A Live Radio Play</t>
  </si>
  <si>
    <t>1908 Lakin Avenue</t>
  </si>
  <si>
    <t>(620) 793-3103</t>
  </si>
  <si>
    <t>Mayor's Tree Lighting and Parade</t>
  </si>
  <si>
    <t>Lighted holiday parade from Poyntz to Aggieville followed by holiday tree lighting in Triangle Park.</t>
  </si>
  <si>
    <t>1300 Moro St</t>
  </si>
  <si>
    <t>Moonlight and Mistletoe</t>
  </si>
  <si>
    <t>A preview evening tour of the homes for the holidays event.</t>
  </si>
  <si>
    <t>231 E Wall St</t>
  </si>
  <si>
    <t>Various locations</t>
  </si>
  <si>
    <t>(620) 223-0866</t>
  </si>
  <si>
    <t>"Winter Wonderland of Dance"</t>
  </si>
  <si>
    <t>Dance Performance.</t>
  </si>
  <si>
    <t>16th annual. Special holiday event held during the Frost Fest in downtown Hays.</t>
  </si>
  <si>
    <t>100 W 7th</t>
  </si>
  <si>
    <t>Ellis County Historical Society Museum</t>
  </si>
  <si>
    <t>Fort Scott Candlelight Tour</t>
  </si>
  <si>
    <t>Witness the magic as Fort Scott comes to life by the glow of hundreds of candles.</t>
  </si>
  <si>
    <t>Old Fort Blvd</t>
  </si>
  <si>
    <t>Fort Scott National Historic Site</t>
  </si>
  <si>
    <t>(620) 223-0310</t>
  </si>
  <si>
    <t>fosc_interpretation@nps.gov</t>
  </si>
  <si>
    <t>www.nps.gov/fosc</t>
  </si>
  <si>
    <t>Let's Make Merry: A Victorian Christmas Celebration &amp; Christmas Dinner</t>
  </si>
  <si>
    <t>FrostFest</t>
  </si>
  <si>
    <t>Annual holiday festival with lighted parade and children’s crafts.</t>
  </si>
  <si>
    <t>Chestnut Street District - 10th and Main</t>
  </si>
  <si>
    <t>Hays Welcome Center - 2700 Vine</t>
  </si>
  <si>
    <t>www.ChestnutStreetDistrict.com</t>
  </si>
  <si>
    <t>Living Bethlehem</t>
  </si>
  <si>
    <t>The Bethlehem Project is held to celebrate Christmas.</t>
  </si>
  <si>
    <t>1001 E. Logan Street</t>
  </si>
  <si>
    <t>(785) 242-8313</t>
  </si>
  <si>
    <t>http://ottawabiblechurch.org/bethlehem.htm</t>
  </si>
  <si>
    <t>Third Annual Festival of Trees</t>
  </si>
  <si>
    <t>A Benefit for Habitat for Humanity.</t>
  </si>
  <si>
    <t>Arkansas City Recreation Center</t>
  </si>
  <si>
    <t>225 E. 5th Ave.</t>
  </si>
  <si>
    <t>Gingerbread House Festival and Viewing</t>
  </si>
  <si>
    <t>Benefiting Big Brothers Big Sisters of Douglas County.</t>
  </si>
  <si>
    <t>200 W 9th</t>
  </si>
  <si>
    <t>(785) 843-7359</t>
  </si>
  <si>
    <t>Harriet and Walt</t>
  </si>
  <si>
    <t>Helen Hocker Theatre-Gage Park</t>
  </si>
  <si>
    <t>Live Professional Theatre: "The Best Christmas Pageant, Ever!"</t>
  </si>
  <si>
    <t>The Best Christmas Pageant, Ever!</t>
  </si>
  <si>
    <t>White Christmas</t>
  </si>
  <si>
    <t>Irving Berlin's classic White Christmas.</t>
  </si>
  <si>
    <t>http://www.theatrelawrence.com/season/currentseason.html</t>
  </si>
  <si>
    <t>2011 Holidays in Wellsville</t>
  </si>
  <si>
    <t>A whole weekend of of holiday events not far from Ottawa, KS.</t>
  </si>
  <si>
    <t>(785) 883-2462</t>
  </si>
  <si>
    <t>30th Annual Christmas Arts &amp; Crafts Show &amp; Home Based Business Expo</t>
  </si>
  <si>
    <t>30th annual. Handcrafted arts and crafts &amp; home-based business Expo. Concessions available.</t>
  </si>
  <si>
    <t>Anthony Municipal Hall</t>
  </si>
  <si>
    <t>5 Places Of Christmas</t>
  </si>
  <si>
    <t>Enjoy a day of Christmas past and present, with decorating ideas, gifts, and special events.</t>
  </si>
  <si>
    <t>211 West First Street</t>
  </si>
  <si>
    <t>5 Places of Christmas</t>
  </si>
  <si>
    <t>27th and North Main St.</t>
  </si>
  <si>
    <t>Kauffman Museum</t>
  </si>
  <si>
    <t>(316) 283-1612</t>
  </si>
  <si>
    <t>Enjoy a day of christmas past and present, with decorating ideas, gifts, and special events.</t>
  </si>
  <si>
    <t>203 N. Main St.</t>
  </si>
  <si>
    <t>Harvey County Historical Museum and Archives</t>
  </si>
  <si>
    <t>(316) 283-2221</t>
  </si>
  <si>
    <t>211 E 1st St</t>
  </si>
  <si>
    <t>(316) 283-3113</t>
  </si>
  <si>
    <t>7th Annual Colony Christmas Parade</t>
  </si>
  <si>
    <t>Annual Evening Christmas Parade held the first Saturday in December.</t>
  </si>
  <si>
    <t>Broad &amp; Maple Sts</t>
  </si>
  <si>
    <t>Colony</t>
  </si>
  <si>
    <t>(620) 852-3321</t>
  </si>
  <si>
    <t>www.experiencegarnettks.net</t>
  </si>
  <si>
    <t>91st Annual Christmas Parade featuring the theme "Campfire Chirstmas and other activities.</t>
  </si>
  <si>
    <t>larnedcofc@gbta.net</t>
  </si>
  <si>
    <t>Annual Holiday Craft Show</t>
  </si>
  <si>
    <t>Sterl Hall</t>
  </si>
  <si>
    <t>619 N Rogers Street</t>
  </si>
  <si>
    <t>(785) 263-3474</t>
  </si>
  <si>
    <t>eisenhowermarathon@yahoo.com</t>
  </si>
  <si>
    <t>Annual Victorian Holiday Tea</t>
  </si>
  <si>
    <t>(785) 263-0300</t>
  </si>
  <si>
    <t>vangie.4664@gmail.com</t>
  </si>
  <si>
    <t>http://www.applemintcatering.com/</t>
  </si>
  <si>
    <t>Artists Studio Christmas Open House</t>
  </si>
  <si>
    <t>The area Lindsborg artists open their studios to visitors.</t>
  </si>
  <si>
    <t>Various locations-maps available</t>
  </si>
  <si>
    <t>raymer@redbarnstudio.org</t>
  </si>
  <si>
    <t>www.redbarnstudio.org</t>
  </si>
  <si>
    <t>Chocolate Festival</t>
  </si>
  <si>
    <t>Alton, Russell Stover's birthplace, is a chocolate lover's dream.</t>
  </si>
  <si>
    <t>Hill Str and Nicolas Ave</t>
  </si>
  <si>
    <t>Hardman Hall</t>
  </si>
  <si>
    <t>Alton</t>
  </si>
  <si>
    <t>(785) 984-2341</t>
  </si>
  <si>
    <t>carolyngrand@ruraltel.net</t>
  </si>
  <si>
    <t>www.skyways.org/towns/Alton</t>
  </si>
  <si>
    <t>Christmas Arts &amp; Crafts Boutique</t>
  </si>
  <si>
    <t>Hutchinson Recreation's Annual "Christmas Arts &amp; Crafts Boutique."</t>
  </si>
  <si>
    <t>101 South Walnut</t>
  </si>
  <si>
    <t>(Memorial Hall)</t>
  </si>
  <si>
    <t>(620) 663-6179</t>
  </si>
  <si>
    <t>Christmas Fantasy</t>
  </si>
  <si>
    <t>Full day of activities for young and old.</t>
  </si>
  <si>
    <t>Downtown Kinsley, 6th Street</t>
  </si>
  <si>
    <t>(620) 659-2711</t>
  </si>
  <si>
    <t>(877) 464-3929</t>
  </si>
  <si>
    <t>ecedc@sbcglobal.net</t>
  </si>
  <si>
    <t>Celebrate Christmas simply with lots of activities in the Heritage Center and at the Mahaffie Home.</t>
  </si>
  <si>
    <t>Mahaffie Stagecoach Stop and Farm Historic Site</t>
  </si>
  <si>
    <t>(913) 971-5114</t>
  </si>
  <si>
    <t>Christmas Parade &amp; Victorian Christmas Festival</t>
  </si>
  <si>
    <t>Parade &amp; Festival</t>
  </si>
  <si>
    <t>(785) 242-1000</t>
  </si>
  <si>
    <t>www.ottawakansas.org</t>
  </si>
  <si>
    <t>Christmas Parade and Arrival of Santa</t>
  </si>
  <si>
    <t>Christmas parade with arrival of Santa.</t>
  </si>
  <si>
    <t>Morton St</t>
  </si>
  <si>
    <t>PO Box 696</t>
  </si>
  <si>
    <t>Christmas Tour of Homes &amp; Open House</t>
  </si>
  <si>
    <t>Christmas tour of homes and Open House at the museum.</t>
  </si>
  <si>
    <t>1130 E Euclid</t>
  </si>
  <si>
    <t>McPherson Museum</t>
  </si>
  <si>
    <t>(620) 241-8464</t>
  </si>
  <si>
    <t>(800) 324-8022</t>
  </si>
  <si>
    <t>(620) 241-2676</t>
  </si>
  <si>
    <t>mcmuseum@sbcglobal.net</t>
  </si>
  <si>
    <t>www.mcphersonmuseum.org</t>
  </si>
  <si>
    <t>Community Choir Christmas Concert</t>
  </si>
  <si>
    <t>Marshall County Community Choir to Perform Christmas Concert</t>
  </si>
  <si>
    <t>204 East Front Street</t>
  </si>
  <si>
    <t>Waterville Opera House</t>
  </si>
  <si>
    <t>(785) 562-3668</t>
  </si>
  <si>
    <t>Cookies &amp; Cocoa with Mrs. Claus</t>
  </si>
  <si>
    <t>A visit with Mrs. Claus.</t>
  </si>
  <si>
    <t>cheryllee6557@yahoo.com</t>
  </si>
  <si>
    <t>Downtown Lawrence Old-Fashioned Christmas Parade</t>
  </si>
  <si>
    <t>Bring the entire family and enjoy the annual Old-Fashioned Christmas parade.</t>
  </si>
  <si>
    <t>700-1100 Massachusetts</t>
  </si>
  <si>
    <t>(785) 838-9400</t>
  </si>
  <si>
    <t>http://www.lawrencechristmasparade.org/</t>
  </si>
  <si>
    <t>Evening of Christmas Magic</t>
  </si>
  <si>
    <t>Bring a Christmas sparkle to your family by doing activities together in downtown Abilene.</t>
  </si>
  <si>
    <t>Historic Union Pacific Depot</t>
  </si>
  <si>
    <t>201 NW Second</t>
  </si>
  <si>
    <t>(785) 263-4125</t>
  </si>
  <si>
    <t>Holiday Art Fair</t>
  </si>
  <si>
    <t>Annual Lawrence Art Guild's Holiday Art Fair.</t>
  </si>
  <si>
    <t>lartctr@sunflower.com</t>
  </si>
  <si>
    <t>www.lawrenceartscenter.com</t>
  </si>
  <si>
    <t>Holiday Lighted Parade</t>
  </si>
  <si>
    <t>Lighted parade and mayor's tree lighting in historic downtown Leavenworth.</t>
  </si>
  <si>
    <t>Delaware, Cherokee &amp; Shawnee between Esplanade &amp; Broadway Streets</t>
  </si>
  <si>
    <t>(913) 682-3924</t>
  </si>
  <si>
    <t>(913) 682-3928</t>
  </si>
  <si>
    <t>director@leavenworthmainstreet.com</t>
  </si>
  <si>
    <t>Holiday Open House</t>
  </si>
  <si>
    <t>Annual holiday open house at the Smoky Hill Museum.</t>
  </si>
  <si>
    <t>211 W. Iron</t>
  </si>
  <si>
    <t>Smoky Hill Museum</t>
  </si>
  <si>
    <t>(785) 309-5776</t>
  </si>
  <si>
    <t>susan.hawksworth@salina.org</t>
  </si>
  <si>
    <t>http://www.smokyhillmuseum.org</t>
  </si>
  <si>
    <t>Holiday Reception &amp; Abilene City Band Concert</t>
  </si>
  <si>
    <t>Abilene Municipal Band is just over a hundred members, from age 14 to 90.</t>
  </si>
  <si>
    <t>http://www.eisenhower.archives.gov/</t>
  </si>
  <si>
    <t>Kingman Area Chamber 18th Annual Lighted Christmas Parade &amp; Festivities</t>
  </si>
  <si>
    <t>The most beautiful, fun-filled Christmas parade in all the land!</t>
  </si>
  <si>
    <t>Larned's Christmas Kiddie Day Celebration</t>
  </si>
  <si>
    <t>Christmas activities featuring Kiddie Day activities including Santa's Workshop and Free Movie.</t>
  </si>
  <si>
    <t>Downtown Larned</t>
  </si>
  <si>
    <t>Lighting of the Union Pacific Depot</t>
  </si>
  <si>
    <t>Enjoy the beautiful lighting of the 1928 Historic Union Pacific Depot and the Mayor's tree.</t>
  </si>
  <si>
    <t>Old Fashioned Christmas</t>
  </si>
  <si>
    <t>Enjoy the sights and sounds of an 1880’s Christmas on the Kansas prairie.</t>
  </si>
  <si>
    <t>120 Mill Street</t>
  </si>
  <si>
    <t>(785) 227-3595</t>
  </si>
  <si>
    <t>Salt City Bowl</t>
  </si>
  <si>
    <t>NJCAA Football Bowl game.</t>
  </si>
  <si>
    <t>Santa Express</t>
  </si>
  <si>
    <t>"Santa Claus Express"</t>
  </si>
  <si>
    <t>Snowflake Parade</t>
  </si>
  <si>
    <t>A parade in downtown Lindsborg followed by a visit from Santa.</t>
  </si>
  <si>
    <t>100 N. Main</t>
  </si>
  <si>
    <t>2011 Hollidays in Williamsburg</t>
  </si>
  <si>
    <t>Holidays &amp; Parade in Williamsburg, Kansas.</t>
  </si>
  <si>
    <t>(785) 746-5735</t>
  </si>
  <si>
    <t>Country Christmas</t>
  </si>
  <si>
    <t>Celebrate Christmas with Burlingame! Crafts, entertainment and great delights.</t>
  </si>
  <si>
    <t>101 E. Santa Fe Ave.</t>
  </si>
  <si>
    <t>Burlingame</t>
  </si>
  <si>
    <t>(785) 654-2414</t>
  </si>
  <si>
    <t>exploreosage.com</t>
  </si>
  <si>
    <t>Folk Art Festival</t>
  </si>
  <si>
    <t>Large arts and crafts show with over 65 booths of handcrafted items and baked goods.</t>
  </si>
  <si>
    <t>8th and Stadium Road</t>
  </si>
  <si>
    <t>(620) 624-3743</t>
  </si>
  <si>
    <t>Homes for the Holidays Tour</t>
  </si>
  <si>
    <t>Beautiful homes decorated for holidays.</t>
  </si>
  <si>
    <t>Homes for the Holidays Tours</t>
  </si>
  <si>
    <t>Must purchase tickets prior to the tour.</t>
  </si>
  <si>
    <t>Abilene Convention &amp; Visitors Bureau</t>
  </si>
  <si>
    <t>http://www.abilenecityhall.com/index.aspx?NID=9</t>
  </si>
  <si>
    <t>Nutcracker Tea Party</t>
  </si>
  <si>
    <t>The Nutcracker Tea Party for children is a special holiday tradition.</t>
  </si>
  <si>
    <t>900 W 137th St</t>
  </si>
  <si>
    <t>(913) 895-6357</t>
  </si>
  <si>
    <t>Celebrate Christmas Downtown</t>
  </si>
  <si>
    <t>Holiday Fun for the family every Saturday in December prior to Christmas.</t>
  </si>
  <si>
    <t>Various locations Downtown</t>
  </si>
  <si>
    <t>Festival of Nativities</t>
  </si>
  <si>
    <t>Annual festival featuring nativity sets from around the world.</t>
  </si>
  <si>
    <t>245 Elm St</t>
  </si>
  <si>
    <t>Centenary United Methodist Church</t>
  </si>
  <si>
    <t>(785) 843-1756</t>
  </si>
  <si>
    <t>Birds in Art</t>
  </si>
  <si>
    <t>Traveling exhibit selected from 2011 Birds in Art by the Woodson Art Museum.</t>
  </si>
  <si>
    <t>3rd annual NJCAA Citizens Bank Bowl</t>
  </si>
  <si>
    <t>NJCAA sanctioned junior college football bowl game.</t>
  </si>
  <si>
    <t>Carnie Smith Stadium, Pittsburg State University</t>
  </si>
  <si>
    <t>www.citizensbankbowl.com</t>
  </si>
  <si>
    <t>87th Annual Holiday Vespers</t>
  </si>
  <si>
    <t>KU holiday tradition.</t>
  </si>
  <si>
    <t>Lied Center of Kansas</t>
  </si>
  <si>
    <t>www.lied.ku.edu</t>
  </si>
  <si>
    <t>Annual Holiday Vespers 2011</t>
  </si>
  <si>
    <t>Holiday Vespers</t>
  </si>
  <si>
    <t>Christmas in the Cabin</t>
  </si>
  <si>
    <t>Experience a holiday as it might have been 100 years ago!</t>
  </si>
  <si>
    <t>Christmas Luminaries</t>
  </si>
  <si>
    <t>Experience the season in a new light.</t>
  </si>
  <si>
    <t>14th and Central Ave</t>
  </si>
  <si>
    <t>Horton</t>
  </si>
  <si>
    <t>(785) 486-2785</t>
  </si>
  <si>
    <t>http://www.hortonkansas.net</t>
  </si>
  <si>
    <t>Community Choir Christmas Concert 2nd Performance</t>
  </si>
  <si>
    <t>Marshall County Community Choir to present Christmas Concert.</t>
  </si>
  <si>
    <t>200 North 10th Street</t>
  </si>
  <si>
    <t>Memorial Presbyterian Church</t>
  </si>
  <si>
    <t>Holiday Homes Tour</t>
  </si>
  <si>
    <t>Tour Lawrence homes decorated for the holidays.</t>
  </si>
  <si>
    <t>Homes throughout Lawrence</t>
  </si>
  <si>
    <t>(785) 841-5760</t>
  </si>
  <si>
    <t>Let our Holiday Homes Tour get you into the Spirit of the Season!</t>
  </si>
  <si>
    <t>125 W 4th Ave</t>
  </si>
  <si>
    <t>Garnett Public Library</t>
  </si>
  <si>
    <t>(785) 448-3388</t>
  </si>
  <si>
    <t>Fun for All to be Had!</t>
  </si>
  <si>
    <t>Shafer Memorial Art Gallery at Barton Community College</t>
  </si>
  <si>
    <t>Meet Father Christmas</t>
  </si>
  <si>
    <t>Meet Father Christmas.</t>
  </si>
  <si>
    <t>Mulvane General Store</t>
  </si>
  <si>
    <t>(785) 368-3888</t>
  </si>
  <si>
    <t>www.topeka.org</t>
  </si>
  <si>
    <t>Open House of Historic Adobe Museum</t>
  </si>
  <si>
    <t>Open House of Historic Adobe Museum.</t>
  </si>
  <si>
    <t>300 E Oklahoma</t>
  </si>
  <si>
    <t>(620) 356-3009</t>
  </si>
  <si>
    <t>http://www.historicadobemuseum.org</t>
  </si>
  <si>
    <t>Santa Arrive by Train</t>
  </si>
  <si>
    <t>Santa arrives on the Union Pacific Train.</t>
  </si>
  <si>
    <t>www.greatoverlandstation.com</t>
  </si>
  <si>
    <t>Vespers</t>
  </si>
  <si>
    <t>Annual Holiday music concert.</t>
  </si>
  <si>
    <t>1600 Stewart Dr</t>
  </si>
  <si>
    <t>Candy Cane Promenade</t>
  </si>
  <si>
    <t>Parade, Mayor's Christmas tree lighting, Candy Cane decorations, caroling,food drive</t>
  </si>
  <si>
    <t>Nettleton and Oak</t>
  </si>
  <si>
    <t>www.bonnersprings.org</t>
  </si>
  <si>
    <t>Capitol Federal Holiday Concert</t>
  </si>
  <si>
    <t>McCain Performance Series: A Celtic Tenors Christmas</t>
  </si>
  <si>
    <t>Classical, folk, Irish and pop holiday harmonies.</t>
  </si>
  <si>
    <t>"Christmas Traditions" Trolley Tours</t>
  </si>
  <si>
    <t>Trolley Tour around town</t>
  </si>
  <si>
    <t>Annual KU Jazz Vespers</t>
  </si>
  <si>
    <t>Holiday tradition</t>
  </si>
  <si>
    <t>Jazz Vespers</t>
  </si>
  <si>
    <t>Great Russian Nutcracker - Moscow Ballet</t>
  </si>
  <si>
    <t>The most spectacular Christmas celebration!</t>
  </si>
  <si>
    <t>Hometown Christmas</t>
  </si>
  <si>
    <t>An evening of family fun at Central Park to help raise funds for Andover Caring &amp; Sharing.</t>
  </si>
  <si>
    <t>Andover Central Park Lodge</t>
  </si>
  <si>
    <t>1607 E Central</t>
  </si>
  <si>
    <t>(316) 977-9460</t>
  </si>
  <si>
    <t>srenner@andoverks.com</t>
  </si>
  <si>
    <t>Ladies Night Out</t>
  </si>
  <si>
    <t>Popular annual event just for the ladies!</t>
  </si>
  <si>
    <t>projects@atchisonkansas.net</t>
  </si>
  <si>
    <t>Wichita Wildcat Classic</t>
  </si>
  <si>
    <t>K-State &amp; West Virginia University men's basketball play in the inaugural Wichita Wildcat Classic.</t>
  </si>
  <si>
    <t>Here Come The Mummies</t>
  </si>
  <si>
    <t>Coming to rock your town...strap in.</t>
  </si>
  <si>
    <t>Prairie Nutcracker</t>
  </si>
  <si>
    <t>Prairie Nutcracker Foundation presents "Prairie Nutcracker" - set in 1869 Kansas.</t>
  </si>
  <si>
    <t>www.prairienutcracker.com</t>
  </si>
  <si>
    <t>The Nutcracker by Ballet Midwest</t>
  </si>
  <si>
    <t>Nutcraker Ballet</t>
  </si>
  <si>
    <t>A Little House Christmas</t>
  </si>
  <si>
    <t>A Little House Christmas.</t>
  </si>
  <si>
    <t>The Kansas Nutcracker; 2011 Sesquicentennial Edition</t>
  </si>
  <si>
    <t>Story set in 1860 Kansas, just before 1861 Statehood and the Civil War.</t>
  </si>
  <si>
    <t>www.lawrenceartscenter.org</t>
  </si>
  <si>
    <t>4th Annual Ladies Holiday Brunch</t>
  </si>
  <si>
    <t>Please come and join us for entertainment and a brunch.</t>
  </si>
  <si>
    <t>(785) 263-1884</t>
  </si>
  <si>
    <t>deniseblehm@yahoo.com</t>
  </si>
  <si>
    <t>A Cappella Unlimited - Holiday Concert</t>
  </si>
  <si>
    <t>A Cappella Unlimited - Holiday Concert.</t>
  </si>
  <si>
    <t>A Merry Swingin' Christmas</t>
  </si>
  <si>
    <t>Star of Vegas' The Rat Pack is Back!</t>
  </si>
  <si>
    <t>310 W. 6th St.</t>
  </si>
  <si>
    <t>(785) 243-2553</t>
  </si>
  <si>
    <t>www.browngrand.org</t>
  </si>
  <si>
    <t>Breakfast with Santa</t>
  </si>
  <si>
    <t>Annual Breakfast with Santa.</t>
  </si>
  <si>
    <t>Anchor Inn</t>
  </si>
  <si>
    <t>126 South Main</t>
  </si>
  <si>
    <t>(620) 663-1596</t>
  </si>
  <si>
    <t>Children's Holiday Shop</t>
  </si>
  <si>
    <t>A safe and fun place for children to shop for gifts for their families.</t>
  </si>
  <si>
    <t>Christmas Home Tours and Santa Visit</t>
  </si>
  <si>
    <t>Visit Alma for an old fashioned small town christmas event</t>
  </si>
  <si>
    <t>Missouri Street</t>
  </si>
  <si>
    <t>Alma</t>
  </si>
  <si>
    <t>Christmas Past at Ft. Larned</t>
  </si>
  <si>
    <t>Spend an evening celebrating the Yuletide with the soldiers and ladies of Fort Larned.</t>
  </si>
  <si>
    <t>Fort Larned National Historic Site</t>
  </si>
  <si>
    <t>Lucia Festival</t>
  </si>
  <si>
    <t>The Swedish Dancers present a celebration to honor Lucia, a symbol of light and hope.</t>
  </si>
  <si>
    <t>cvbdir@visitlindsborg.com</t>
  </si>
  <si>
    <t>Santa on the Train</t>
  </si>
  <si>
    <t>Ride the Rails with Santa Claus.</t>
  </si>
  <si>
    <t>Abilene &amp; Smoky Valley Train</t>
  </si>
  <si>
    <t>(785) 263-7266</t>
  </si>
  <si>
    <t>The Celtic Tenors</t>
  </si>
  <si>
    <t>Songs of the season.</t>
  </si>
  <si>
    <t>Prairie Longrifles Wild West Trade Show &amp; Blackpowder Gunmakers Fair</t>
  </si>
  <si>
    <t>Annual trade show. Buy, sell, trade.</t>
  </si>
  <si>
    <t>900 Greeley</t>
  </si>
  <si>
    <t>4-H Building, Kenwood Park</t>
  </si>
  <si>
    <t>(785) 667-4612</t>
  </si>
  <si>
    <t>Candlelight Vintage Homes Tour</t>
  </si>
  <si>
    <t>Annual tour of several vintage homes during the holidays.</t>
  </si>
  <si>
    <t>1128 Fifth Ave</t>
  </si>
  <si>
    <t>(913) 682-7759</t>
  </si>
  <si>
    <t>(913) 682-2089</t>
  </si>
  <si>
    <t>leavenworthhistory@sbcglobal.net</t>
  </si>
  <si>
    <t>www.leavenworthhistory.org</t>
  </si>
  <si>
    <t>Cathedral Christmas Concert</t>
  </si>
  <si>
    <t>Christmas Concert in the beautiful Cathedral of the Plains.</t>
  </si>
  <si>
    <t>900 Cathedral</t>
  </si>
  <si>
    <t>St. Fidelis Church</t>
  </si>
  <si>
    <t>Victoria</t>
  </si>
  <si>
    <t>(785) 628-4258</t>
  </si>
  <si>
    <t>tacrull@fhsu.edu</t>
  </si>
  <si>
    <t>www.fhsu.edu/music</t>
  </si>
  <si>
    <t>Norman Rockwell: Home for Holidays</t>
  </si>
  <si>
    <t>Norman Rockwell’s memorable, enduring images, reflected the best in us as Americans.</t>
  </si>
  <si>
    <t>Kansas Coal Fields with Randy Roberts - Parsons</t>
  </si>
  <si>
    <t>McCain Performance Sereis: The Christmas Music of Mannheim Steamrollers by Chip Davis</t>
  </si>
  <si>
    <t>Everyone's favorite holiday supergroup.</t>
  </si>
  <si>
    <t>Mannheim Steamroller</t>
  </si>
  <si>
    <t>Favorite Christmas music of Mannheim Steamroller.</t>
  </si>
  <si>
    <t>Cheyenne Bottoms Christmas Bird Count</t>
  </si>
  <si>
    <t>Come and help count the birds at the wetlands of Cheyenne Bottoms.</t>
  </si>
  <si>
    <t>Dolly HollyDay Tours</t>
  </si>
  <si>
    <t>Evening trolley tour of homes and neighborhoods decorated for holiday season.</t>
  </si>
  <si>
    <t>(620) 223-3566</t>
  </si>
  <si>
    <t>(800) 245-3678</t>
  </si>
  <si>
    <t>(620) 223-3574</t>
  </si>
  <si>
    <t>fstourism@fortscott.com</t>
  </si>
  <si>
    <t>www.fortscott.com</t>
  </si>
  <si>
    <t>Topeka Roadrunners vs. Wenatchee Wild</t>
  </si>
  <si>
    <t>Topeka Roadrunners vs. Wenatchee Wild.</t>
  </si>
  <si>
    <t>Finney County Team Penners</t>
  </si>
  <si>
    <t>Team penning and/or sorting. This event is every 3rd saturday.</t>
  </si>
  <si>
    <t>401 S Taylor</t>
  </si>
  <si>
    <t>Finney County Fairgrounds Horse Palace</t>
  </si>
  <si>
    <t>Garden City</t>
  </si>
  <si>
    <t>(620) 272-3844</t>
  </si>
  <si>
    <t>(888) 876-3844</t>
  </si>
  <si>
    <t>(620) 272-3845</t>
  </si>
  <si>
    <t>fair@finneycounty.org</t>
  </si>
  <si>
    <t>4th annual Via Christi Home Medical Equipment Gorilla Invitational Wheelchair Basketball Tournament</t>
  </si>
  <si>
    <t>Annual wheelchair basketball tournament.</t>
  </si>
  <si>
    <t>PSU Student Recreation Center</t>
  </si>
  <si>
    <t>Kansas Christmas Chorale</t>
  </si>
  <si>
    <t>Hyde Park Christmas Luminaria</t>
  </si>
  <si>
    <t>28th Annual Hyde Park Luminaria.</t>
  </si>
  <si>
    <t>Main to Monroe and 17th to 25th</t>
  </si>
  <si>
    <t>Hyde Park Neighborhood</t>
  </si>
  <si>
    <t>(620) 662-1517</t>
  </si>
  <si>
    <t>sunderland2@sbcglobal.net</t>
  </si>
  <si>
    <t>Julotta</t>
  </si>
  <si>
    <t>6:00 a.m. Swedish-style Christmas church service.</t>
  </si>
  <si>
    <t>Bethany Lutheran Church</t>
  </si>
  <si>
    <t>320 N. Main Street</t>
  </si>
  <si>
    <t>Annandag Jul</t>
  </si>
  <si>
    <t>Annual Event.</t>
  </si>
  <si>
    <t>320 N. Main</t>
  </si>
  <si>
    <t>(785) 227-2167</t>
  </si>
  <si>
    <t>Topeka Roadrunners vs. Springfield Jr. Blues.</t>
  </si>
  <si>
    <t>Little Apple® New Year's Eve Ball Drop</t>
  </si>
  <si>
    <t>Join several thousand of your best friends in the heart of Aggieville to ring in the New Year.</t>
  </si>
  <si>
    <t>Moro &amp; Manhattan Ave</t>
  </si>
  <si>
    <t>(785) 539-0551</t>
  </si>
  <si>
    <t>info@littleapplenewyears.com</t>
  </si>
  <si>
    <t>http://www.littleapplenewyears.com</t>
  </si>
  <si>
    <t>New Years Eve Family Celebration</t>
  </si>
  <si>
    <t>NON-ALCOHOLIC FAMILY EVENT. FUN FOR ALL AGES. 8 P.M. TO 12 MIDNIGHT</t>
  </si>
  <si>
    <t>709 MAIN</t>
  </si>
  <si>
    <t>RAYMOND</t>
  </si>
  <si>
    <t>(620) 534-2865</t>
  </si>
  <si>
    <t>Ball Drop Concludes Garnett &amp; Kansas 150th Celebration Year</t>
  </si>
  <si>
    <t>The ball drops, the flapjacks flip to conclude the Garnett and Kansas' 150th year long celebration!</t>
  </si>
  <si>
    <t>Topeka Roadrunners vs. St. Louis Bandits</t>
  </si>
  <si>
    <t>Topeka Roadrunners vs. St. Louis Bandits.</t>
  </si>
  <si>
    <t>First Gun Dog Competition of 2012 and NUCS Sanctioned Western Kansas Gun Dog Competition.</t>
  </si>
  <si>
    <t>25047 160th Ave</t>
  </si>
  <si>
    <t>South Pacific</t>
  </si>
  <si>
    <t>Beloved Rodgers and Hammerstein musical.</t>
  </si>
  <si>
    <t>Living the Dream's Drumming for the Drum Major Drumline Extravaganza</t>
  </si>
  <si>
    <t>Living the Dream's Drumming for the Drum Major Drumline Extravaganza.</t>
  </si>
  <si>
    <t>Arenacross</t>
  </si>
  <si>
    <t>The Last Night of Ballyhoo</t>
  </si>
  <si>
    <t>The Last Night of Ballyhoo, a touching comedy.</t>
  </si>
  <si>
    <t>FIESTA!-John Strickler, Conductor</t>
  </si>
  <si>
    <t>FIESTA!</t>
  </si>
  <si>
    <t>Mrs Hughes</t>
  </si>
  <si>
    <t>America's funniest Grandma brings her rollicking humor to the Fox stage.</t>
  </si>
  <si>
    <t>A Taste of Hays</t>
  </si>
  <si>
    <t>Sample some of the best food from restaurants in Hays.</t>
  </si>
  <si>
    <t>700 College Dr</t>
  </si>
  <si>
    <t>FHSU Memorial Union, Black &amp; Gold Room</t>
  </si>
  <si>
    <t>(785) 625-6800</t>
  </si>
  <si>
    <t>christin@maryelizabeth.net</t>
  </si>
  <si>
    <t>www.maryelizabeth.net</t>
  </si>
  <si>
    <t>Carpe Diem String Quartet</t>
  </si>
  <si>
    <t>For more information please call: 316-321-6742 or 316-321-9601 or visit eldoradokscca.org</t>
  </si>
  <si>
    <t>500 W. Central</t>
  </si>
  <si>
    <t>(316) 321-9601</t>
  </si>
  <si>
    <t>McCain Performance Series: "Young Frankenstein"</t>
  </si>
  <si>
    <t>The new Mel Brooks musical</t>
  </si>
  <si>
    <t>Twelve Angry Men</t>
  </si>
  <si>
    <t>Family Children's Theatre presents the classic story "Twelve Angry Men."</t>
  </si>
  <si>
    <t>Hays Symphony Orchestra Children’s Concert</t>
  </si>
  <si>
    <t>Winter Concert of the Hays Symphony Orchestra.</t>
  </si>
  <si>
    <t>Beach/Schmidt Performing Arts Center</t>
  </si>
  <si>
    <t>FHSU - 600 Park</t>
  </si>
  <si>
    <t>(785) 628-4533</t>
  </si>
  <si>
    <t>(785) 628-4227</t>
  </si>
  <si>
    <t>tmlynch@fhsu.edu</t>
  </si>
  <si>
    <t>WTCT Radio Player</t>
  </si>
  <si>
    <t>Mid Continent League Basketball Tournament</t>
  </si>
  <si>
    <t>Exciting small town girls and boys basketball tournament.</t>
  </si>
  <si>
    <t>Gross Memorial Coliseum, Fort Hays State University</t>
  </si>
  <si>
    <t>Topeka Roadrunners vs. Texas Tornados</t>
  </si>
  <si>
    <t>Topeka Roadrunners vs. Texas Tornados.</t>
  </si>
  <si>
    <t>Bloody Murder</t>
  </si>
  <si>
    <t>Spoof on an Agatha Christie classic.</t>
  </si>
  <si>
    <t>FHSU Encore Series</t>
  </si>
  <si>
    <t>Renowned string instrumentalists from around the world.</t>
  </si>
  <si>
    <t>(785) 628-5306</t>
  </si>
  <si>
    <t>(785) 628-4666</t>
  </si>
  <si>
    <t>esmccracken@fhsu.edu</t>
  </si>
  <si>
    <t>http://bigcat.fhsu.edu/perf_arts/</t>
  </si>
  <si>
    <t>McCain Performance Series: Simone Dinnerstein</t>
  </si>
  <si>
    <t>Profound, elegant and graceful pianist.</t>
  </si>
  <si>
    <t>Topeka Roadrunners vs. New Mexico Mustangs</t>
  </si>
  <si>
    <t>Topeka Roadrunners vs. New Mexico Mustangs.</t>
  </si>
  <si>
    <t>ASID Interior Design Exhibition</t>
  </si>
  <si>
    <t>Opening reception for ASID Interior Design Exhibition.</t>
  </si>
  <si>
    <t>Moss-Thorns Gallery of Art-Rarick Hall</t>
  </si>
  <si>
    <t>(785) 628-4247</t>
  </si>
  <si>
    <t>www.fhsu.edu/art-and-design/moss-thorns/</t>
  </si>
  <si>
    <t>Eagle Day</t>
  </si>
  <si>
    <t>Annual event celebrating the bald eagle.</t>
  </si>
  <si>
    <t>4700 Overland Dr</t>
  </si>
  <si>
    <t>Lawrence Free State High School</t>
  </si>
  <si>
    <t>(785) 842-0475</t>
  </si>
  <si>
    <t>www.kawvalleyeaglesday.com</t>
  </si>
  <si>
    <t>Kansas Day Business Expo 2012</t>
  </si>
  <si>
    <t>Kansas Day Business Expo</t>
  </si>
  <si>
    <t>Cottonwood Elementary School</t>
  </si>
  <si>
    <t>709 N. Hedge Lane Road</t>
  </si>
  <si>
    <t>(913) 294-4335</t>
  </si>
  <si>
    <t>mgr@paolachamber.org</t>
  </si>
  <si>
    <t>www.paolachamber.org</t>
  </si>
  <si>
    <t>Kansas Day Celebration</t>
  </si>
  <si>
    <t>Celebrate Kansas Day with activities at the museum.</t>
  </si>
  <si>
    <t>Kansas Statehood Ball</t>
  </si>
  <si>
    <t>1860s period dance to celebrate Kansas' statehood.</t>
  </si>
  <si>
    <t>619 N. Rogers</t>
  </si>
  <si>
    <t>Chiara String Quartet</t>
  </si>
  <si>
    <t>The Chiara String Quartet makes its much-anticipated return.</t>
  </si>
  <si>
    <t>Lecompton's 2012 Bleeding Kansas Program Series</t>
  </si>
  <si>
    <t>Programs on the violent conflict over the issue of slavery in Kansas Territory.</t>
  </si>
  <si>
    <t>319 Elmore St</t>
  </si>
  <si>
    <t>Constitution Hall State Historic Site</t>
  </si>
  <si>
    <t>(785) 887-6520</t>
  </si>
  <si>
    <t>consthall@kshs.org</t>
  </si>
  <si>
    <t>Elvis Lives</t>
  </si>
  <si>
    <t>Audiences "Can’t Help Falling in Love" with this phenomenal concert experience.</t>
  </si>
  <si>
    <t>Luther College Nordic Choir</t>
  </si>
  <si>
    <t>Topeka Roadrunners vs. Corpus Christi IceRays</t>
  </si>
  <si>
    <t>Topeka Roadrunners vs. Corpus Christi IceRays.</t>
  </si>
  <si>
    <t>Hidden Art Locked Away Art Sale</t>
  </si>
  <si>
    <t>Art produced by area inmates</t>
  </si>
  <si>
    <t>123 S. Esplanade Street</t>
  </si>
  <si>
    <t>(913) 682-4459</t>
  </si>
  <si>
    <t>frankgini@kc.rr.com</t>
  </si>
  <si>
    <t>Thomas Moore Prep-Marian Singers Dinner Theater</t>
  </si>
  <si>
    <t>Enjoy a wonderful meal and entertainment by the Thomas Moore Prep singers.</t>
  </si>
  <si>
    <t>1701 Hall</t>
  </si>
  <si>
    <t>Thomas More Prep-Marian High School</t>
  </si>
  <si>
    <t>(785) 625-6577</t>
  </si>
  <si>
    <t>dreilingk@tmp-m.org</t>
  </si>
  <si>
    <t>www.tmp-m.org</t>
  </si>
  <si>
    <t>Hays Symphony Orchestra Concert</t>
  </si>
  <si>
    <t>Performance by the Hays Symphony Orchestra comprised of students, faculty and community members.</t>
  </si>
  <si>
    <t>www.fhsu.edu/music/symphony.shtml</t>
  </si>
  <si>
    <t>Souper Bowl Saturday</t>
  </si>
  <si>
    <t>Annual event.</t>
  </si>
  <si>
    <t>Select and buy a handmade ceramic bowl and have it filled with delicious soup! Yummy!</t>
  </si>
  <si>
    <t>Verdi's "Il Trovatore"</t>
  </si>
  <si>
    <t>Wichita Grand Opera opens their tenth mainstage season!</t>
  </si>
  <si>
    <t>225 W. Douglas Ave.</t>
  </si>
  <si>
    <t>Century II Performing Arts &amp; Convention Center</t>
  </si>
  <si>
    <t>(316) 683-3334</t>
  </si>
  <si>
    <t>boxoffice@wichitagrandopera.org</t>
  </si>
  <si>
    <t>www.wichitagrandopera.org</t>
  </si>
  <si>
    <t>5th Annual Western Kansas Chukar Nationals Gun Dog Competition</t>
  </si>
  <si>
    <t>5th Annual Western Kansas Chukar Nationals Gun Dog Competition.</t>
  </si>
  <si>
    <t>Twist &amp; Turn</t>
  </si>
  <si>
    <t>Washburn Campus</t>
  </si>
  <si>
    <t>McCain Performance Series: "Mamma Mia!"</t>
  </si>
  <si>
    <t>A mother. A daughter. Three possible dads. And a trip down the aisle you'll never forget.</t>
  </si>
  <si>
    <t>K-State Univeristy</t>
  </si>
  <si>
    <t>McCain Performance Series: "The Hills are Alive" Brooklyn Rundfunk Orkestrata</t>
  </si>
  <si>
    <t>Rock out to songs from "The Sound of Music."</t>
  </si>
  <si>
    <t>EquiFest of Kansas</t>
  </si>
  <si>
    <t>15th Annual Horse Fair &amp; Expo.</t>
  </si>
  <si>
    <t>1229 E 85th St</t>
  </si>
  <si>
    <t>Kansas Pavilions</t>
  </si>
  <si>
    <t>Wichita-Valley Center</t>
  </si>
  <si>
    <t>(785) 215-1600</t>
  </si>
  <si>
    <t>debbie@horseplaypromo.com</t>
  </si>
  <si>
    <t>www.equifestofks.com</t>
  </si>
  <si>
    <t>Tales of a Fourth Grade Nothing</t>
  </si>
  <si>
    <t>Tales of a Fourth Grade Nothing.</t>
  </si>
  <si>
    <t>Chocolate Lovers Affair</t>
  </si>
  <si>
    <t>Chocolate entries are judged.</t>
  </si>
  <si>
    <t>Vala Hala</t>
  </si>
  <si>
    <t>101 1/2 Harrison St.</t>
  </si>
  <si>
    <t>Mozart &amp; More</t>
  </si>
  <si>
    <t>Western Kansas String Academy Storyhour Performance</t>
  </si>
  <si>
    <t>String academy concert for children's story hour.</t>
  </si>
  <si>
    <t>1205 Main</t>
  </si>
  <si>
    <t>Hays Public Library</t>
  </si>
  <si>
    <t>(785) 628-5363</t>
  </si>
  <si>
    <t>cadrabkin@fhsu.edu</t>
  </si>
  <si>
    <t>www.fhsu.edu/wksa</t>
  </si>
  <si>
    <t>Gun &amp; Coin Show</t>
  </si>
  <si>
    <t>Annual vendor exhibition.</t>
  </si>
  <si>
    <t>Grant County Civic Center</t>
  </si>
  <si>
    <t>(620) 356-1136</t>
  </si>
  <si>
    <t>Chocolate Auction</t>
  </si>
  <si>
    <t>Live and silent auction of chocolate delicacies and artwork.</t>
  </si>
  <si>
    <t>(785) 594-6627</t>
  </si>
  <si>
    <t>www.baldwinarts.org</t>
  </si>
  <si>
    <t>McCain Performance Series: McCain Student Showcase</t>
  </si>
  <si>
    <t>K-State students show off their talent.</t>
  </si>
  <si>
    <t>Chamber Ensemble of the Shanghai Chinese Orchestra</t>
  </si>
  <si>
    <t>Chinese folk music.</t>
  </si>
  <si>
    <t>MAMMA MIA!</t>
  </si>
  <si>
    <t>The smash hit musical based on the songs of ABBA.</t>
  </si>
  <si>
    <t>CATS</t>
  </si>
  <si>
    <t>There's no better way to introduce your family to the wonders of live theater than with CATS.</t>
  </si>
  <si>
    <t>Narnia (Lion, the Witch, and the Wardrobe)</t>
  </si>
  <si>
    <t>Cast of the Family Children's Theatre presents Narnia.</t>
  </si>
  <si>
    <t>KBA Winter Bluegrass Festival -23rd Annual</t>
  </si>
  <si>
    <t>23rd annual show features workshops and some of your favorite bands.</t>
  </si>
  <si>
    <t>9100 Corporate Hills Dr</t>
  </si>
  <si>
    <t>Wichita Marriott</t>
  </si>
  <si>
    <t>(316) 651-0333</t>
  </si>
  <si>
    <t>www.kansasbluegrass.org</t>
  </si>
  <si>
    <t>Lincoln Reenactment</t>
  </si>
  <si>
    <t>Lincoln honors its namesake, our 16th President, with historic re-enactments.</t>
  </si>
  <si>
    <t>Lincoln Ave</t>
  </si>
  <si>
    <t>(785) 524-5133</t>
  </si>
  <si>
    <t>villagelines@sbcglobal.net</t>
  </si>
  <si>
    <t>www.villagelines.com</t>
  </si>
  <si>
    <t>Honoring our 16th President with historical performances and entertainment.</t>
  </si>
  <si>
    <t>villagelines@nckcn.com</t>
  </si>
  <si>
    <t>www.skyways.org/towns/Lincoln</t>
  </si>
  <si>
    <t>41st Annual Antique/Collectibles Show and Sale</t>
  </si>
  <si>
    <t>42nd annual show with antique/collectibles dealers and free appraisals.</t>
  </si>
  <si>
    <t>1500 Toles</t>
  </si>
  <si>
    <t>Larned Community Center</t>
  </si>
  <si>
    <t>Casino Night</t>
  </si>
  <si>
    <t>Casino Night - a casual benefit event with prizes.</t>
  </si>
  <si>
    <t>Matt Haimovitz, cello &amp; Christopher O'Riley, piano</t>
  </si>
  <si>
    <t>Shuffle. Play. Listen</t>
  </si>
  <si>
    <t>International Pancake Day Festival</t>
  </si>
  <si>
    <t>Festival featuring a friendly competition between Liberal, KS and Olney, England.</t>
  </si>
  <si>
    <t>318 N Lincoln</t>
  </si>
  <si>
    <t>PO Box 665</t>
  </si>
  <si>
    <t>(620) 624-6423</t>
  </si>
  <si>
    <t>(800) 542-3725</t>
  </si>
  <si>
    <t>(620) 626-0540</t>
  </si>
  <si>
    <t>tourism@cityofliberal.org</t>
  </si>
  <si>
    <t>www.pancakeday.net</t>
  </si>
  <si>
    <t>McCain Performance Series: Henson Alternative "Stuffed and Unstrung"</t>
  </si>
  <si>
    <t>Eighty Henson puppets, six comedians, and 100 percent uncensored.</t>
  </si>
  <si>
    <t>Encore Series</t>
  </si>
  <si>
    <t>William Inge's classic play presented by the Montana Repertory Theatre.</t>
  </si>
  <si>
    <t>Beach/Schmidt Performing Arts Center, Fort Hays State University</t>
  </si>
  <si>
    <t>Jin Xing Dance Theatre</t>
  </si>
  <si>
    <t>Contemporary dance from Shanghai</t>
  </si>
  <si>
    <t>The Water Coolers</t>
  </si>
  <si>
    <t>The Water Coolers is a hilarious comedy that has the American workplace nailed.</t>
  </si>
  <si>
    <t>16th Annual Kansas Silent Film Festival</t>
  </si>
  <si>
    <t>16th Annual Kansas Silent Film Festival.</t>
  </si>
  <si>
    <t>White Concert Hall - Washburn University</t>
  </si>
  <si>
    <t>(785) 670-3151</t>
  </si>
  <si>
    <t>www.kssilentfilmfest.org</t>
  </si>
  <si>
    <t>35th Annual Woman's World Conference "</t>
  </si>
  <si>
    <t>This two day conference brings together Christian women from across the country.</t>
  </si>
  <si>
    <t>Anderson Ave and 17th St</t>
  </si>
  <si>
    <t>K-State Student Union</t>
  </si>
  <si>
    <t>(785) 539-3571</t>
  </si>
  <si>
    <t>jrupe@mccks.edu</t>
  </si>
  <si>
    <t>www.mccks.edu/campus_events</t>
  </si>
  <si>
    <t>KSHSAA 3-2-1A Wrestling Championships</t>
  </si>
  <si>
    <t>Kansas high school wrestling championships for class 3-2-1A.</t>
  </si>
  <si>
    <t>KSHSAA 5A &amp; 6A State Wrestling Tournament</t>
  </si>
  <si>
    <t>Students in 5A and 6A brackets compete in their classification.</t>
  </si>
  <si>
    <t>(785) 273-5329</t>
  </si>
  <si>
    <t>Becky's New Car</t>
  </si>
  <si>
    <t>Comedy by Stephen Dietz</t>
  </si>
  <si>
    <t>Manhattan Arts Center Theatre Production "The Graduate"</t>
  </si>
  <si>
    <t>"Camelot"</t>
  </si>
  <si>
    <t>Musical performed by River City Community Players in historic Art Deco theater.</t>
  </si>
  <si>
    <t>5th &amp; Delaware Sts</t>
  </si>
  <si>
    <t>five@fai-group.com</t>
  </si>
  <si>
    <t>Sand and Sage Collector Show</t>
  </si>
  <si>
    <t>GARDEN CITY PREIMER GUN AND COLLECTORS SHOW.</t>
  </si>
  <si>
    <t>311 N 9 TH</t>
  </si>
  <si>
    <t>GARDEN CITY</t>
  </si>
  <si>
    <t>www.finneycounty.org/fairgrounds</t>
  </si>
  <si>
    <t>McCain Performance Series: Doc Severinsen and His Big Band</t>
  </si>
  <si>
    <t>Live at McCain without the commercial breaks.</t>
  </si>
  <si>
    <t>McCain Performance Series: STOMP</t>
  </si>
  <si>
    <t>The international sensation!</t>
  </si>
  <si>
    <t>http://www.k-state.edu/mccain/#</t>
  </si>
  <si>
    <t>The international sensation.</t>
  </si>
  <si>
    <t>Danu</t>
  </si>
  <si>
    <t>Hailing from County Waterford, Danú is one of the leading traditional Irish ensembles of today</t>
  </si>
  <si>
    <t>McCain Performance Series: "Macbeth" Aquila Theatre</t>
  </si>
  <si>
    <t>Shakespeare's tragic tale of ambition, madness and chaos.</t>
  </si>
  <si>
    <t>Avenue Q</t>
  </si>
  <si>
    <t>Avenue Q, the Broadway Musical.</t>
  </si>
  <si>
    <t>3082 SW 8th Avenue</t>
  </si>
  <si>
    <t>Fort Hays State University Opera</t>
  </si>
  <si>
    <t>Opera comes to Western Kansas with cast and orchestra made up of university students.</t>
  </si>
  <si>
    <t>Felten/Start Theater, Fort Hays State University</t>
  </si>
  <si>
    <t>3A State Boys &amp; Girls Basketball Tournament</t>
  </si>
  <si>
    <t>3A State High School Basketball Tournament.</t>
  </si>
  <si>
    <t>700 E 11th</t>
  </si>
  <si>
    <t>Hutchinson Sports Arena</t>
  </si>
  <si>
    <t>(620) 665-3586</t>
  </si>
  <si>
    <t>stanger@hutchcc.edu</t>
  </si>
  <si>
    <t>www.hutchcc.edu/dragons</t>
  </si>
  <si>
    <t>KSHSAA 1A Division II Boys and Girls State Basketball Championships</t>
  </si>
  <si>
    <t>Kansas 1A basketball championships for high school boys and girls teams.</t>
  </si>
  <si>
    <t>Cinema Classics</t>
  </si>
  <si>
    <t>1700 SW Jewell Avenue</t>
  </si>
  <si>
    <t>Topekaq</t>
  </si>
  <si>
    <t>St. Patrick's Day Parade</t>
  </si>
  <si>
    <t>Watch the parade as it marches through this charming downtown.</t>
  </si>
  <si>
    <t>Tonganoxie</t>
  </si>
  <si>
    <t>(913) 845-9244</t>
  </si>
  <si>
    <t>info@tonganoxiechamber.org</t>
  </si>
  <si>
    <t>www.tongie.org</t>
  </si>
  <si>
    <t>McCain Performance Series: "An Evening of Romance" Jim Brickman</t>
  </si>
  <si>
    <t>America's romantic piano sensation.</t>
  </si>
  <si>
    <t>Hays VFW Craft Fair</t>
  </si>
  <si>
    <t>The VFW Ladies Auxiliary sponsor their annual Craft and Home Based Business Fair.</t>
  </si>
  <si>
    <t>Kansas National Guard Armory</t>
  </si>
  <si>
    <t>200 South Main</t>
  </si>
  <si>
    <t>(785) 628-2375</t>
  </si>
  <si>
    <t>chaddock@ruraltel.net</t>
  </si>
  <si>
    <t>“A Chronicle of Quilts: Revisiting Past Quilt Exhibits”</t>
  </si>
  <si>
    <t>Annual Textile Exhibit features quilts.</t>
  </si>
  <si>
    <t>100 W 7th St</t>
  </si>
  <si>
    <t>St. Patrick's Parade</t>
  </si>
  <si>
    <t>Annual St. Patrick's parade celebrating the Irish.</t>
  </si>
  <si>
    <t>(620) 340-6430</t>
  </si>
  <si>
    <t>main.street@emporia.ws</t>
  </si>
  <si>
    <t>www.emporiamainstreet.com</t>
  </si>
  <si>
    <t>The Total String Experience...Virtuosity in the hands of Masters.</t>
  </si>
  <si>
    <t>600 Park - Fort Hays State University</t>
  </si>
  <si>
    <t>SFJAZZ Collective</t>
  </si>
  <si>
    <t>Modern jazz masters celebrate Stevie Wonder.</t>
  </si>
  <si>
    <t>7th Annual Runnin' of the Strip</t>
  </si>
  <si>
    <t>RUNNIN' OF THE STRIP Celebrates National Quilting Day</t>
  </si>
  <si>
    <t>(316) 684-5855</t>
  </si>
  <si>
    <t>Aggieville St. Patrick's Day Parade &amp; Road Races</t>
  </si>
  <si>
    <t>Wear your green and come celebrate St. Patricks' Day in Manhattan!</t>
  </si>
  <si>
    <t>Moro Street and N. Manhattan Avenue</t>
  </si>
  <si>
    <t>http://www.aggieville.org</t>
  </si>
  <si>
    <t>Fort Hays State University Band Concert</t>
  </si>
  <si>
    <t>Band concert featuring the musicians of the Fort Hays State University department of music.</t>
  </si>
  <si>
    <t>J. Strauss' "The Bat (Die Fledermaus)"</t>
  </si>
  <si>
    <t>Wichita Grand Opera unveils its tenth mainstage season with all new productions!</t>
  </si>
  <si>
    <t>(316) 683-3444</t>
  </si>
  <si>
    <t>Saint Patrick's Day Parade</t>
  </si>
  <si>
    <t>29th annual huge parade in historic downtown.</t>
  </si>
  <si>
    <t>Delaware St</t>
  </si>
  <si>
    <t>(913) 682-9800</t>
  </si>
  <si>
    <t>mkenny2@kc.rr.com</t>
  </si>
  <si>
    <t>Annual parade featuring a wide array of floats.</t>
  </si>
  <si>
    <t>700 Massachusetts St</t>
  </si>
  <si>
    <t>1100 Massachusetts St</t>
  </si>
  <si>
    <t>(785) 749-6677</t>
  </si>
  <si>
    <t>Annual St. Patrick's Day Parade</t>
  </si>
  <si>
    <t>(913) 367-7122</t>
  </si>
  <si>
    <t>Women's Fair</t>
  </si>
  <si>
    <t>Free! Exhibits, booths and seminars that focus on women's issues.</t>
  </si>
  <si>
    <t>1100 W. K 31 Highway</t>
  </si>
  <si>
    <t>Anderson County Jr.-Sr. High School</t>
  </si>
  <si>
    <t>(785) 304-2029</t>
  </si>
  <si>
    <t>www.garnettbpw.org</t>
  </si>
  <si>
    <t>NJCAA Division I Men's Basketball Tournament</t>
  </si>
  <si>
    <t>Five days of the best Junior College men's basketball in the nation.</t>
  </si>
  <si>
    <t>700 East 11th</t>
  </si>
  <si>
    <t>(620) 669-9846</t>
  </si>
  <si>
    <t>ticketinfo@njcaabbtrny.org</t>
  </si>
  <si>
    <t>www.njcaabbtrny.org</t>
  </si>
  <si>
    <t>Student Honors Exhibition at Moss-Thorns Gallery of Art</t>
  </si>
  <si>
    <t>Opening reception for a new exhibit featuring art works of FHSU students.</t>
  </si>
  <si>
    <t>Rarrick Hall Room 102</t>
  </si>
  <si>
    <t>ctaylor@fhsu.edu</t>
  </si>
  <si>
    <t>http://www.fhsu.edu/art-and-design/moss-thorns/</t>
  </si>
  <si>
    <t>ARLO GUTHRIE Boys Night Out</t>
  </si>
  <si>
    <t>Three generations of Guthrie boys will appear on the Fox stage.</t>
  </si>
  <si>
    <t>One of the most popular dance companies in the country</t>
  </si>
  <si>
    <t>(785) 628-4007</t>
  </si>
  <si>
    <t>Honky Tonk Angels</t>
  </si>
  <si>
    <t>America's hottest County Musical!</t>
  </si>
  <si>
    <t>Brown Grand Theatre</t>
  </si>
  <si>
    <t>310 W. 6th</t>
  </si>
  <si>
    <t>Prairie Spirit Trail Anniversary Celebration</t>
  </si>
  <si>
    <t>Celebrate 16 years of fun and adventure on Kansas' first rail-trail, the Prairie Spirit Trail.</t>
  </si>
  <si>
    <t>Community Building - North Lake Park</t>
  </si>
  <si>
    <t>3rd Western Kansas Gun Dog Competition</t>
  </si>
  <si>
    <t>3rd Western Kansas Gun Dog Competition of 2012 season.</t>
  </si>
  <si>
    <t>Mnozil Brass</t>
  </si>
  <si>
    <t>Tuba, trombones and trumpets from Austria</t>
  </si>
  <si>
    <t>Pleasantview Annual Spring Celebration</t>
  </si>
  <si>
    <t>Prizes, food and fun for the whole family.</t>
  </si>
  <si>
    <t>All businesses throughout Pleasantview Community</t>
  </si>
  <si>
    <t>Pleasantview</t>
  </si>
  <si>
    <t>(620) 663-1269</t>
  </si>
  <si>
    <t>Topeka Roadrunners vs. Odessa Jackalopes</t>
  </si>
  <si>
    <t>Messiah Festival</t>
  </si>
  <si>
    <t>The Messiah Festival of Music &amp; Art will celebrate its 130th season in 2011.</t>
  </si>
  <si>
    <t>335 E Swensson</t>
  </si>
  <si>
    <t>Bach's St. Matthew Passion</t>
  </si>
  <si>
    <t>Bach’s St. Matthew Passion will be presented on Good Friday, April 22 at 7:30pm.</t>
  </si>
  <si>
    <t>www.bethanylb.edu</t>
  </si>
  <si>
    <t>Miss Nelson is Missing</t>
  </si>
  <si>
    <t>Tulip Time</t>
  </si>
  <si>
    <t>Art Department Student Exhibits</t>
  </si>
  <si>
    <t>FARFALLE (Butterflies)</t>
  </si>
  <si>
    <t>Interactive theatre for children and adults</t>
  </si>
  <si>
    <t>Spring Longhorn Cattle Drive</t>
  </si>
  <si>
    <t>Mount up and experience cowboy lifestyle firsthand. Drive Texas Longhorn cattle to summer pasture.</t>
  </si>
  <si>
    <t>http://www.moorelonghornranch.com</t>
  </si>
  <si>
    <t>Western Kansas String Academy Year-End Concert</t>
  </si>
  <si>
    <t>Hear budding young musicians perform a variety of musical styles.</t>
  </si>
  <si>
    <t>600 Park, Fort Hays State University</t>
  </si>
  <si>
    <t>M-Act presents "Almost, Maine"</t>
  </si>
  <si>
    <t>Marysville Area Community Theatre production.</t>
  </si>
  <si>
    <t>Spring Fling</t>
  </si>
  <si>
    <t>Annual trade show with local and area merchants and arts and crafts.</t>
  </si>
  <si>
    <t>Civic Center</t>
  </si>
  <si>
    <t>gccc@pld.com</t>
  </si>
  <si>
    <t>Steel Magnolias</t>
  </si>
  <si>
    <t>Comedy/Drama by Steven Harling</t>
  </si>
  <si>
    <t>Fabulous Finale</t>
  </si>
  <si>
    <t>Flames in the Flint Hills</t>
  </si>
  <si>
    <t>Guests have opportunity to light &amp; manage prairie fire. Plus chuck wagon dinner, music &amp; wagon ride.</t>
  </si>
  <si>
    <t>1515 G. Road</t>
  </si>
  <si>
    <t>Cedar Point</t>
  </si>
  <si>
    <t>(620) 274-4357</t>
  </si>
  <si>
    <t>gwen@flinthillsflyingw.com</t>
  </si>
  <si>
    <t>www.flinthillsflyingw.com</t>
  </si>
  <si>
    <t>Republic County Spring Czech Festival</t>
  </si>
  <si>
    <t>Celebration of Czech heritage with a carry-in dinner and dance.</t>
  </si>
  <si>
    <t>Munden Community Center</t>
  </si>
  <si>
    <t>Munden</t>
  </si>
  <si>
    <t>(785) 987-5383</t>
  </si>
  <si>
    <t>ENCORE Series - April Show</t>
  </si>
  <si>
    <t>New dance creates a luminous and reflective world.</t>
  </si>
  <si>
    <t>The Robe</t>
  </si>
  <si>
    <t>Cast of the Family Children's Theatre presents "The Robe."</t>
  </si>
  <si>
    <t>"The Laramie Project"</t>
  </si>
  <si>
    <t>Play performed by local theater group, the River City Community Players.</t>
  </si>
  <si>
    <t>5th and Delaware Sts</t>
  </si>
  <si>
    <t>Performing Arts Center</t>
  </si>
  <si>
    <t>maikf@fai-group.com</t>
  </si>
  <si>
    <t>William Shakespeare's HAMLET</t>
  </si>
  <si>
    <t>3208 SW 8th Avenue</t>
  </si>
  <si>
    <t>A Day on the Farm - Wonderful World of Miniature Horses</t>
  </si>
  <si>
    <t>Spend a day on the farm and see the miniature horses.</t>
  </si>
  <si>
    <t>1650 Locust Grove Rd</t>
  </si>
  <si>
    <t>Blue Sky Miniature Horse Farm</t>
  </si>
  <si>
    <t>(785) 625-6725</t>
  </si>
  <si>
    <t>www.blueskyhorses.com</t>
  </si>
  <si>
    <t>Soroptimist Women's Show</t>
  </si>
  <si>
    <t>Annual Soropmotist Women's Fair</t>
  </si>
  <si>
    <t>Meadowlark Building - Kansas State Fairgrounds</t>
  </si>
  <si>
    <t>2000 North Poplar</t>
  </si>
  <si>
    <t>(620) 662-2941</t>
  </si>
  <si>
    <t>Donizetti's "Don Pasquale"</t>
  </si>
  <si>
    <t>Lawrence Tuesday Farmers Market</t>
  </si>
  <si>
    <t>1000 Block of Vermont</t>
  </si>
  <si>
    <t>Flute &amp; Harp</t>
  </si>
  <si>
    <t>Performance by Chistina Webster- Flute and Tabitha Reist Steiner- Harp.</t>
  </si>
  <si>
    <t>Pioneer Days</t>
  </si>
  <si>
    <t>Parade, pro-rodeo team roping and bulldogging competition, and dance.</t>
  </si>
  <si>
    <t>Kiowa</t>
  </si>
  <si>
    <t>(620) 825-4127</t>
  </si>
  <si>
    <t>www.kiowanews.com</t>
  </si>
  <si>
    <t>McCain Performance Series: Pilobolus Dance Theatre</t>
  </si>
  <si>
    <t>Mind-boggling imagery with awe-inspiring athleticism.</t>
  </si>
  <si>
    <t>Atchison Art Walk</t>
  </si>
  <si>
    <t>We invite you to explore historic Atchison through art.</t>
  </si>
  <si>
    <t>Spring Gallery Walk and the Opening of the Annual Smoky Hill Art Exhibition</t>
  </si>
  <si>
    <t>Spring gallery walk and opening reception of the 41st Annual Smoky Hill Art Exhibition.</t>
  </si>
  <si>
    <t>112 E 11th</t>
  </si>
  <si>
    <t>Hays Arts Center Gallery</t>
  </si>
  <si>
    <t>(785) 625-7522</t>
  </si>
  <si>
    <t>arts@haysartscouncil.org</t>
  </si>
  <si>
    <t>www.haysartscouncil.org</t>
  </si>
  <si>
    <t>Martin and Osa Johnson Safari Film Festival at Safari Days</t>
  </si>
  <si>
    <t>Set a course for cinematic thrills.This famous couple inspired generations with their films.</t>
  </si>
  <si>
    <t>111 N Lincoln</t>
  </si>
  <si>
    <t>3501 S. Plummer</t>
  </si>
  <si>
    <t>(620) 431-2730</t>
  </si>
  <si>
    <t>osajohns@safarimuseum.com</t>
  </si>
  <si>
    <t>www.safarimuseum.com</t>
  </si>
  <si>
    <t>Safari Days Film Festival</t>
  </si>
  <si>
    <t>Film festival featuring historic adventure films.</t>
  </si>
  <si>
    <t>800 W 14th</t>
  </si>
  <si>
    <t>111 N. Lincoln</t>
  </si>
  <si>
    <t>Quality Arts and Crafts Show</t>
  </si>
  <si>
    <t>A variety of crafters from throughout the Midwest display their unique products.</t>
  </si>
  <si>
    <t>2918 Vine St</t>
  </si>
  <si>
    <t>The Hays Mall</t>
  </si>
  <si>
    <t>(785) 625-3314</t>
  </si>
  <si>
    <t>(785) 625-8434</t>
  </si>
  <si>
    <t>jtacha@dialproperties.com</t>
  </si>
  <si>
    <t>www.shophaysmall.com</t>
  </si>
  <si>
    <t>Manhattan Arts Center Theatre Production "Funny Girl"</t>
  </si>
  <si>
    <t>Spring Gallery Walk (Student Exhibition)</t>
  </si>
  <si>
    <t>Artist reception in conjunction with the annual Spring Gallery Walk.</t>
  </si>
  <si>
    <t>www.fhsu.edu/art-and-design/moss-thorns</t>
  </si>
  <si>
    <t>"The Merry-Go-Run"</t>
  </si>
  <si>
    <t>5K &amp; 10K run throughout historic Leavenworth, the "First City in Kansas"!</t>
  </si>
  <si>
    <t>320 S Esplanade</t>
  </si>
  <si>
    <t>(913) 682-1331</t>
  </si>
  <si>
    <t>j-m-reinhardt@sbcglobal.net</t>
  </si>
  <si>
    <t>www.firstcitymuseums.org</t>
  </si>
  <si>
    <t>American Legion Riders Bike Show</t>
  </si>
  <si>
    <t>Third Annual Bike Show</t>
  </si>
  <si>
    <t>812 Main St</t>
  </si>
  <si>
    <t>American Legion Post 21</t>
  </si>
  <si>
    <t>Seneca</t>
  </si>
  <si>
    <t>(785) 294-0099</t>
  </si>
  <si>
    <t>seneca_chamber@yahoo.com</t>
  </si>
  <si>
    <t>Annual Celebrity Pancake Feed &amp; Silent Auction</t>
  </si>
  <si>
    <t>Hanger Building #602-604</t>
  </si>
  <si>
    <t>J Street, Forbes Field</t>
  </si>
  <si>
    <t>(785) 862-3303</t>
  </si>
  <si>
    <t>www.combatairmuseum.org</t>
  </si>
  <si>
    <t>Artists' Studio Spring Open House</t>
  </si>
  <si>
    <t>212 S Main</t>
  </si>
  <si>
    <t>(785) 227-2217</t>
  </si>
  <si>
    <t>Chanute Farmers Market</t>
  </si>
  <si>
    <t>Chanute Farmers Market is held from April - September at Santa Fe Park.</t>
  </si>
  <si>
    <t>2401 S. Santa Fe</t>
  </si>
  <si>
    <t>Santa Fe Park Main Entrance</t>
  </si>
  <si>
    <t>Hays Symphony Orchestra/Choral Department Masterworks Concert</t>
  </si>
  <si>
    <t>Features the annual Masterworks concert with orchestra and choirs.</t>
  </si>
  <si>
    <t>www.fhsu.edu/music/ensembles/symphony/</t>
  </si>
  <si>
    <t>Safari Days Business Expo &amp; Family Fun Day</t>
  </si>
  <si>
    <t>Experience a fun-filled day with activities for all ages.</t>
  </si>
  <si>
    <t>(620) 431-7770</t>
  </si>
  <si>
    <t>Emporia Super Custom Car Show</t>
  </si>
  <si>
    <t>12th annual car show.</t>
  </si>
  <si>
    <t>1200 Commercial</t>
  </si>
  <si>
    <t>Emporia State University HPER Bldg</t>
  </si>
  <si>
    <t>(620) 341-5331</t>
  </si>
  <si>
    <t>McCain Performance Series: "The Sleeping Beauty" Moscow Festival Ballet</t>
  </si>
  <si>
    <t>The timeless good-trumps-evil fairy tale.</t>
  </si>
  <si>
    <t>May McFamily Fun Night</t>
  </si>
  <si>
    <t>The Hays Arts Council and McDonalds present family arts &amp; crafts projects.</t>
  </si>
  <si>
    <t>North Hays McDonald's</t>
  </si>
  <si>
    <t>3406 Vine</t>
  </si>
  <si>
    <t>Gypsum Hills Trail Rides</t>
  </si>
  <si>
    <t>Bring your horse and ride from Spring till Fall in the beautiful Gypsum Hills across the ranch.</t>
  </si>
  <si>
    <t>Gant Larson Ranch @1801 NW Forest City Rd.</t>
  </si>
  <si>
    <t>Hwy 160 West 9 miles, 1 1/2 miles North to campgrounds</t>
  </si>
  <si>
    <t>(620) 886-9822</t>
  </si>
  <si>
    <t>gypsumhillstrailrides@hotmail.com</t>
  </si>
  <si>
    <t>www.gypsumhillstrailrides.com</t>
  </si>
  <si>
    <t>Adam's "Giselle"</t>
  </si>
  <si>
    <t>Joe Bonamassa</t>
  </si>
  <si>
    <t>Antique &amp; Barbed Wire Show</t>
  </si>
  <si>
    <t>Exhibits of antiques, collectibles, military equipment, barbed wire, and fencing tools</t>
  </si>
  <si>
    <t>417 Main Street</t>
  </si>
  <si>
    <t>La Crosse</t>
  </si>
  <si>
    <t>(785) 222-9900</t>
  </si>
  <si>
    <t>barbedwire@rushcounty.org</t>
  </si>
  <si>
    <t>www.rushcounty.org/BarbedWireMuseum</t>
  </si>
  <si>
    <t>Brew, Blues &amp; Bar-B-Q Cook-off</t>
  </si>
  <si>
    <t>Annual community Bar-B-Q cook-off.</t>
  </si>
  <si>
    <t>871 W. Eisenhower Road</t>
  </si>
  <si>
    <t>Spring Tea</t>
  </si>
  <si>
    <t>Be treated to beautiful tables of goodies and tea in the historic C.N. James Log Cabin.</t>
  </si>
  <si>
    <t>(316) 775-5655</t>
  </si>
  <si>
    <t>www.augustahistoricalsociety.com</t>
  </si>
  <si>
    <t>McPherson Gem, Mineral, and Fossil Club Rock Sale &amp; Swap</t>
  </si>
  <si>
    <t>Buy, sell or trade. Come enjoy the displays.</t>
  </si>
  <si>
    <t>710 W Woodside Street</t>
  </si>
  <si>
    <t>McPherson County 4-H Building</t>
  </si>
  <si>
    <t>(620) 241-7003</t>
  </si>
  <si>
    <t>swederocker@mpks.net</t>
  </si>
  <si>
    <t>The Great American Trailer Park Musical</t>
  </si>
  <si>
    <t>The Great American Trailer Park Musical.</t>
  </si>
  <si>
    <t>3802 SW 8th Avenue</t>
  </si>
  <si>
    <t>21st Annual Yard Art Classic Car Show</t>
  </si>
  <si>
    <t>Everyone goes home happy after visiting the annual Yard Arts Classic Car Show</t>
  </si>
  <si>
    <t>11th and Poyntz</t>
  </si>
  <si>
    <t>Manhattan City Park Shelter</t>
  </si>
  <si>
    <t>(785) 539-2189</t>
  </si>
  <si>
    <t>mvkansas@hotmail.com</t>
  </si>
  <si>
    <t>http://clubs.hemmings.com/yaccc/</t>
  </si>
  <si>
    <t>C.A.R.S. Show</t>
  </si>
  <si>
    <t>Annual Show</t>
  </si>
  <si>
    <t>1600 E Euclid</t>
  </si>
  <si>
    <t>(620) 241-0731</t>
  </si>
  <si>
    <t>http://www.mcpherson.edu</t>
  </si>
  <si>
    <t>Lansing Daze Festival</t>
  </si>
  <si>
    <t>Annual festival.</t>
  </si>
  <si>
    <t>871 W. Eisenhower</t>
  </si>
  <si>
    <t>Art in the Park 2011</t>
  </si>
  <si>
    <t>Annual outdoor art show.</t>
  </si>
  <si>
    <t>1140 Massachusetts</t>
  </si>
  <si>
    <t>South Park</t>
  </si>
  <si>
    <t>(785) 979-7039</t>
  </si>
  <si>
    <t>Commemorative Mass to Celebrate the dedication of the church</t>
  </si>
  <si>
    <t>A special mass is observed each year during the month of May at the Holy Cross Church in Pfeifer.</t>
  </si>
  <si>
    <t>1701 Sarratov</t>
  </si>
  <si>
    <t>Holy Cross Church</t>
  </si>
  <si>
    <t>Pfeifer</t>
  </si>
  <si>
    <t>(785) 735-2395</t>
  </si>
  <si>
    <t>gibandcarol@lycos.com</t>
  </si>
  <si>
    <t>www.volgagerman.net/pfeifer_ks.htm</t>
  </si>
  <si>
    <t>Fort Hays Stamp Club Coin &amp; Stamp Show</t>
  </si>
  <si>
    <t>Annual coin and stamp show. Evaluation of of collectibles which are for sale.</t>
  </si>
  <si>
    <t>Ramada - 3603 Vine St</t>
  </si>
  <si>
    <t>(785) 625-3066</t>
  </si>
  <si>
    <t>lionpaul@eaglecom.net</t>
  </si>
  <si>
    <t>Rope ‘em Ride &amp; Family Fun Walk</t>
  </si>
  <si>
    <t>A one-day energetic extravaganza featuring a 5-100 mile bicycle ride.</t>
  </si>
  <si>
    <t>94 Lewis Dr</t>
  </si>
  <si>
    <t>15th Annual Sunflower Balloon Fest</t>
  </si>
  <si>
    <t>Hot air balloons, parade, FREE inflatables, motorcycle show, flight simulator, and car show.</t>
  </si>
  <si>
    <t>Anthony, KS Airport</t>
  </si>
  <si>
    <t>2 miles W of Anthony, KS</t>
  </si>
  <si>
    <t>www.sunflowerballoonfest.com</t>
  </si>
  <si>
    <t>3rd annual Pittsburg Open Karate Tournament</t>
  </si>
  <si>
    <t>Fourth annual Pittsburg Open Karate Tournament.</t>
  </si>
  <si>
    <t>213 East 10th</t>
  </si>
  <si>
    <t>(620) 231-8310</t>
  </si>
  <si>
    <t>sara.mitchell@pittks.org</t>
  </si>
  <si>
    <t>www.pittks.org</t>
  </si>
  <si>
    <t>Barber County Wildflower Tour</t>
  </si>
  <si>
    <t>Half or Full Day Bus Tour to appreciate native Wildflowers. Tour starts with video and brunch.</t>
  </si>
  <si>
    <t>West Third</t>
  </si>
  <si>
    <t>Soil Conservation &amp; Farm Services Bldg.</t>
  </si>
  <si>
    <t>(620) 886-3721</t>
  </si>
  <si>
    <t>Miami County Farm Tour</t>
  </si>
  <si>
    <t>Enjoy a day trip to the country featuring clean air and a rural heritage.</t>
  </si>
  <si>
    <t>201 S Pearl, Suite 202</t>
  </si>
  <si>
    <t>(913) 294-4045</t>
  </si>
  <si>
    <t>jmcrae@miamicountyks.org</t>
  </si>
  <si>
    <t>www.ThinkMiamiCounty.com</t>
  </si>
  <si>
    <t>Mother's Day Flea Market</t>
  </si>
  <si>
    <t>37th annual Flea Market - Antiques, Novelties, Arts &amp; Crafts, Furniture, Quilts, Food Stands &amp; BBQ</t>
  </si>
  <si>
    <t>10th and Spring St</t>
  </si>
  <si>
    <t>(785) 562-5593</t>
  </si>
  <si>
    <t>http://www.marysvillekansaschamber.org</t>
  </si>
  <si>
    <t>Art Tougeau Parade</t>
  </si>
  <si>
    <t>Wheeled art parade.</t>
  </si>
  <si>
    <t>North along Massachusetts</t>
  </si>
  <si>
    <t>http://www.lawrenceartscenter.com</t>
  </si>
  <si>
    <t>Merriam Turkey Creek Festival</t>
  </si>
  <si>
    <t>Fun family festival in Merriam, Kansas!</t>
  </si>
  <si>
    <t>6501 Antioch</t>
  </si>
  <si>
    <t>Antioch Park</t>
  </si>
  <si>
    <t>Merriam</t>
  </si>
  <si>
    <t>(913) 322-5550</t>
  </si>
  <si>
    <t>(913) 322-5555</t>
  </si>
  <si>
    <t>susanh@merriam.org</t>
  </si>
  <si>
    <t>www.merriam.org/park</t>
  </si>
  <si>
    <t>Opera on the Lake</t>
  </si>
  <si>
    <t>Wichita Grand Opera's regular season grand finale under the stars at Bradley Fair!</t>
  </si>
  <si>
    <t>2000 N. Rock Rd.</t>
  </si>
  <si>
    <t>Bradley Fair at Wilson Estates</t>
  </si>
  <si>
    <t>Thunder on the Smoky</t>
  </si>
  <si>
    <t>Motorcycle display, vendors, activities and food.</t>
  </si>
  <si>
    <t>120 N Washington St</t>
  </si>
  <si>
    <t>Kansas Motorcycle Museum</t>
  </si>
  <si>
    <t>Marquette</t>
  </si>
  <si>
    <t>(785) 546-2449</t>
  </si>
  <si>
    <t>(785) 546-2205</t>
  </si>
  <si>
    <t>www.kansasmotorcyclemuseum.com</t>
  </si>
  <si>
    <t>Frederic Chen</t>
  </si>
  <si>
    <t>KS Federation of China Decorators &amp; the KS World Organization of China Painters Annual Show</t>
  </si>
  <si>
    <t>China painters and decorators annual show.</t>
  </si>
  <si>
    <t>1400 North Lorraine</t>
  </si>
  <si>
    <t>(620) 687-6283</t>
  </si>
  <si>
    <t>ipaintchina@cox.net</t>
  </si>
  <si>
    <t>Shrine Rodeo</t>
  </si>
  <si>
    <t>The greatest sport on dirt! It's rodeo, America's original extreme sport!</t>
  </si>
  <si>
    <t>405 W 4th</t>
  </si>
  <si>
    <t>Leavenworth County Fairgrounds</t>
  </si>
  <si>
    <t>(913) 362-5300</t>
  </si>
  <si>
    <t>nicolaus@gtmc.net</t>
  </si>
  <si>
    <t>www.shrinerodeo.com</t>
  </si>
  <si>
    <t>Kid's Stampede</t>
  </si>
  <si>
    <t>(785) 368-8888</t>
  </si>
  <si>
    <t>Vintage &amp; Experimental Aircraft Fly-In</t>
  </si>
  <si>
    <t>Aviation event in hometown of Amelia Earhart.</t>
  </si>
  <si>
    <t>16702 286th Rd</t>
  </si>
  <si>
    <t>Amelia Earhart Airport</t>
  </si>
  <si>
    <t>eulajon@lvnworth.com</t>
  </si>
  <si>
    <t>Fort Larned Living History Weekend</t>
  </si>
  <si>
    <t>Largest living history event in western Kansas at best preserved Indian Wars fort on Santa Fe Trail.</t>
  </si>
  <si>
    <t>1767 KS Hwy 156</t>
  </si>
  <si>
    <t>Historic Trolley Tour</t>
  </si>
  <si>
    <t>Hop on the Dodge City Trolley for a one-hour, narrated tour of our historic sites.</t>
  </si>
  <si>
    <t>400 W Wyatt Earp Blvd</t>
  </si>
  <si>
    <t>(620) 225-8186</t>
  </si>
  <si>
    <t>(620) 225-8268</t>
  </si>
  <si>
    <t>Belleville Main Street Farmer's Market</t>
  </si>
  <si>
    <t>Farmer's market every Saturday morning 8:00 - 11:00 in the summer.</t>
  </si>
  <si>
    <t>mainstreet@nckcn.com</t>
  </si>
  <si>
    <t>Flint Hills Rodeo</t>
  </si>
  <si>
    <t>Oldest consecutive rodeo in Kansas. PRCA-sanctioned.</t>
  </si>
  <si>
    <t>Highway 50</t>
  </si>
  <si>
    <t>Strong City</t>
  </si>
  <si>
    <t>(620) 273-6480</t>
  </si>
  <si>
    <t>tickets@flinthillsrodeo.com</t>
  </si>
  <si>
    <t>www.flinthillsrodeo.com</t>
  </si>
  <si>
    <t>Poker Run &amp; Friday Night Cruisin'</t>
  </si>
  <si>
    <t>Annual Poker Run &amp; Cruisin' - Best Hand Prizes, Raffle Prizes, Cruisin' Main Street.</t>
  </si>
  <si>
    <t>8th and Broadway</t>
  </si>
  <si>
    <t>Big Blue BBQ Championship</t>
  </si>
  <si>
    <t>KCBS Sanctioned BBQ Championship</t>
  </si>
  <si>
    <t>www.bigbluebarbeque.com</t>
  </si>
  <si>
    <t>Chingawassa Days</t>
  </si>
  <si>
    <t>This annual family festival features nationally known acts.</t>
  </si>
  <si>
    <t>501 E Main</t>
  </si>
  <si>
    <t>Central Park</t>
  </si>
  <si>
    <t>Marion</t>
  </si>
  <si>
    <t>(620) 382-3425</t>
  </si>
  <si>
    <t>chinga@eaglecom.net</t>
  </si>
  <si>
    <t>www.chingawassa.com</t>
  </si>
  <si>
    <t>Heartland Military Day</t>
  </si>
  <si>
    <t>6700 S Topeka Blvd.</t>
  </si>
  <si>
    <t>www.kansasguardmuseum.org</t>
  </si>
  <si>
    <t>Hoisington's Third Annual Mud Run</t>
  </si>
  <si>
    <t>Visit Hoisington for a fun-filled, mudslinging afternoon of fun for the entire family.</t>
  </si>
  <si>
    <t>560 S Main</t>
  </si>
  <si>
    <t>Hoisington</t>
  </si>
  <si>
    <t>(620) 653-4311</t>
  </si>
  <si>
    <t>hoisingtoncofc@embarqmail.com</t>
  </si>
  <si>
    <t>www.hoisingtonkansas.com</t>
  </si>
  <si>
    <t>Junefest</t>
  </si>
  <si>
    <t>"Junefest" brings folks downtown and is a celebration of Summer, fun games for kids all ages!</t>
  </si>
  <si>
    <t>City Park (Softball)</t>
  </si>
  <si>
    <t>Miner's Day Reunion</t>
  </si>
  <si>
    <t>Miners and spouses visit and reminisce of the mining days gone by.</t>
  </si>
  <si>
    <t>6509 NW 60th St</t>
  </si>
  <si>
    <t>PO Box 25</t>
  </si>
  <si>
    <t>West Mineral</t>
  </si>
  <si>
    <t>(620) 827-6177</t>
  </si>
  <si>
    <t>(620) 827-6174</t>
  </si>
  <si>
    <t>bigbrutus@columbus-ks.com</t>
  </si>
  <si>
    <t>www.bigbrutus.org</t>
  </si>
  <si>
    <t>Jolly Jogathon Track Meet</t>
  </si>
  <si>
    <t>Annual Track Meet for young and old alike.</t>
  </si>
  <si>
    <t>(785) 562-3021</t>
  </si>
  <si>
    <t>Summer Exhibit: Letters</t>
  </si>
  <si>
    <t>Exhibit that features letters from 50 to over 100 years ago.</t>
  </si>
  <si>
    <t>Summer Band Concerts</t>
  </si>
  <si>
    <t>Annual Summer Wednesday evening band concert.</t>
  </si>
  <si>
    <t>12th and Massachusetts</t>
  </si>
  <si>
    <t>(785) 832-7930</t>
  </si>
  <si>
    <t>Seven Brides for Seven Brothers</t>
  </si>
  <si>
    <t>Hutchinson's Family Children's Theatre presents "Seven Brides for Seven Brothers."</t>
  </si>
  <si>
    <t>Beef Empire Days PRCA Rodeo</t>
  </si>
  <si>
    <t>The PRCA rodeo, part of a community-wide event celebrating our Western heritage.</t>
  </si>
  <si>
    <t>Finney County Fairgrounds</t>
  </si>
  <si>
    <t>(620) 276-1000</t>
  </si>
  <si>
    <t>(866) 294-2333</t>
  </si>
  <si>
    <t>(620) 276-2681</t>
  </si>
  <si>
    <t>wjjohnson@gmail.com</t>
  </si>
  <si>
    <t>www.beefempiredaysrodeo.com</t>
  </si>
  <si>
    <t>River Suite Dinner &amp; Concert</t>
  </si>
  <si>
    <t>Live music and fine dining on historic river bridge in Cottonwood Falls in beautiful Flint Hills.</t>
  </si>
  <si>
    <t>Paradise Creek Festival and Rodeo</t>
  </si>
  <si>
    <t>Start the summer with three fun-filled days at this vibrant event.</t>
  </si>
  <si>
    <t>200 W Mill St</t>
  </si>
  <si>
    <t>Plainville</t>
  </si>
  <si>
    <t>(785) 434-2312</t>
  </si>
  <si>
    <t>info@plainvillesaddleclub.com</t>
  </si>
  <si>
    <t>www.plainvillerodeo.com</t>
  </si>
  <si>
    <t>St. Dionysios Greek Festival</t>
  </si>
  <si>
    <t>Greek food! Live music! Greek dance! Something for everyone at the 50th Annual Greek Festival! Opa!</t>
  </si>
  <si>
    <t>8100 W. 95th Street</t>
  </si>
  <si>
    <t>(913) 341-7373</t>
  </si>
  <si>
    <t>festival@stdionysios.org</t>
  </si>
  <si>
    <t>http://www.stdionysios.org</t>
  </si>
  <si>
    <t>Joseph and the Amazing Technicolor Dreamcoat</t>
  </si>
  <si>
    <t>By Andrew Lloyd Weber and Tim Rice.</t>
  </si>
  <si>
    <t>Franklin County Cancer Foundation 5K Run/Walk</t>
  </si>
  <si>
    <t>5K Run/Walk</t>
  </si>
  <si>
    <t>23rd Street</t>
  </si>
  <si>
    <t>(785) 242-5007</t>
  </si>
  <si>
    <t>Mayhem on the Marais des Cygnes</t>
  </si>
  <si>
    <t>Ottawa Main Street Association to Stage Inaugural Beer Tasting Event</t>
  </si>
  <si>
    <t>4th &amp; Walnut Parking Lot</t>
  </si>
  <si>
    <t>(785) 242-2085</t>
  </si>
  <si>
    <t>bdennis@ottawamainstreet.org</t>
  </si>
  <si>
    <t>Listen to the Kansas City Symphony amid the beauty of the tallgrass prairie of the Flint Hills.</t>
  </si>
  <si>
    <t>311 Cottonwood Avenue</t>
  </si>
  <si>
    <t>(620) 273-8955</t>
  </si>
  <si>
    <t>info@symphonyintheflinthills.org</t>
  </si>
  <si>
    <t>www.symphonyintheflinthills.org</t>
  </si>
  <si>
    <t>Tonganoxie Days</t>
  </si>
  <si>
    <t>Outdoor festival to celebrate the charm of the town with a variety of arts and crafts vendors.</t>
  </si>
  <si>
    <t>Downtown and VFW Park</t>
  </si>
  <si>
    <t>(913) 845-5183</t>
  </si>
  <si>
    <t>conniet@firststateks.com</t>
  </si>
  <si>
    <t>www.tonganoxiedays.com</t>
  </si>
  <si>
    <t>Flint Hills FolkLife Festival</t>
  </si>
  <si>
    <t>Historical presenters in period dress demonstrating the skills of the mid 1800s.</t>
  </si>
  <si>
    <t>300 Pearl</t>
  </si>
  <si>
    <t>Courthouse Lawn</t>
  </si>
  <si>
    <t>prairie-maid@sbcglobal.net.</t>
  </si>
  <si>
    <t>www.flinthillsfolklifefestival.com</t>
  </si>
  <si>
    <t>TROLLEY TOUR: Historic Sites</t>
  </si>
  <si>
    <t>Trolley tour to interesting sites in Hays.</t>
  </si>
  <si>
    <t>100 West 7th</t>
  </si>
  <si>
    <t>Prairie Days Festival</t>
  </si>
  <si>
    <t>Enjoy a day in the life of Laura Ingalls, at the original site mentioned in her books.</t>
  </si>
  <si>
    <t>2507 CR 3000</t>
  </si>
  <si>
    <t>Little House on the Prairie Museum</t>
  </si>
  <si>
    <t>(620) 289-4238</t>
  </si>
  <si>
    <t>lhopmuseumks@gmail.com</t>
  </si>
  <si>
    <t>www.littlehouseontheprairiemuseum.com</t>
  </si>
  <si>
    <t>Jazz at Grace</t>
  </si>
  <si>
    <t>International Forest of Friendship Celebration</t>
  </si>
  <si>
    <t>Annual celebration honoring aviation and aerospace</t>
  </si>
  <si>
    <t>(913) 367-1419</t>
  </si>
  <si>
    <t>Jayhawker Days</t>
  </si>
  <si>
    <t>Parade, re-enactments, children's activities, ranch rodeo, mutton busting, crafts, vendors and food.</t>
  </si>
  <si>
    <t>(785) 746-5618</t>
  </si>
  <si>
    <t>Swing into Summer Fest</t>
  </si>
  <si>
    <t>Car show, scavenger hunt, games, entertainment, barbeque, and other special events.</t>
  </si>
  <si>
    <t>115 S. Walnut</t>
  </si>
  <si>
    <t>Stockton</t>
  </si>
  <si>
    <t>(785) 425-6272</t>
  </si>
  <si>
    <t>stocktonchamber@hotmail.com</t>
  </si>
  <si>
    <t>www.stocktonkansas.net</t>
  </si>
  <si>
    <t>Annual Blue Grass at the Lake</t>
  </si>
  <si>
    <t>Blue Grass Concert from 5-10pm.</t>
  </si>
  <si>
    <t>1 Office Dr</t>
  </si>
  <si>
    <t>(620) 382-3240</t>
  </si>
  <si>
    <t>www.marioncountyparkandlake.com</t>
  </si>
  <si>
    <t>Wheatstock 8</t>
  </si>
  <si>
    <t>Juneteenth Celebration</t>
  </si>
  <si>
    <t>Annual event celebrating Emancipation with fun, foods and cultural activities.</t>
  </si>
  <si>
    <t>7th &amp; L Streets</t>
  </si>
  <si>
    <t>LFM Park</t>
  </si>
  <si>
    <t>(913) 367-2481</t>
  </si>
  <si>
    <t>donaldbratton@sbcglobal.net</t>
  </si>
  <si>
    <t>Inside Peanuts</t>
  </si>
  <si>
    <t>Derby Days Festival</t>
  </si>
  <si>
    <t>Annual community festival features music, food, carnival rides, arts and crafts, KidFest and more.</t>
  </si>
  <si>
    <t>920 N Rock Rd</t>
  </si>
  <si>
    <t>Derby High School</t>
  </si>
  <si>
    <t>Derby</t>
  </si>
  <si>
    <t>(316) 788-7667</t>
  </si>
  <si>
    <t>amoeding@sbcglobal.net</t>
  </si>
  <si>
    <t>www.derbydaysks.com</t>
  </si>
  <si>
    <t>Third Thursday's 3rd Annual Art Tour</t>
  </si>
  <si>
    <t>Features over 50 artists in various downtown locations.</t>
  </si>
  <si>
    <t>Country Stampede 2012</t>
  </si>
  <si>
    <t>The best country music festival in the country!</t>
  </si>
  <si>
    <t>5800 River Pond Rd</t>
  </si>
  <si>
    <t>(785) 539-2222</t>
  </si>
  <si>
    <t>(800) 795-8091</t>
  </si>
  <si>
    <t>stampede@kansas.net</t>
  </si>
  <si>
    <t>http://www.countrystampede.com/</t>
  </si>
  <si>
    <t>St John's Mexican Fiesta</t>
  </si>
  <si>
    <t>Annual Mexican festival.</t>
  </si>
  <si>
    <t>1234 Kentucky</t>
  </si>
  <si>
    <t>St. John's Catholic Church</t>
  </si>
  <si>
    <t>(785) 843-0109</t>
  </si>
  <si>
    <t>Territorial Days</t>
  </si>
  <si>
    <t>Celebrate Lecompton's Territorial and National history.</t>
  </si>
  <si>
    <t>Elmore St</t>
  </si>
  <si>
    <t>(785) 887-6148</t>
  </si>
  <si>
    <t>www.lecomptonterritorialdays.com</t>
  </si>
  <si>
    <t>The Shape of Things</t>
  </si>
  <si>
    <t>The Shape of Things.</t>
  </si>
  <si>
    <t>Star Spangled Spectacular</t>
  </si>
  <si>
    <t>Music, kiddy rides and fireworks show.</t>
  </si>
  <si>
    <t>221 W Douglas Ave</t>
  </si>
  <si>
    <t>Recreation Center</t>
  </si>
  <si>
    <t>Ellsworth</t>
  </si>
  <si>
    <t>(785) 472-5566</t>
  </si>
  <si>
    <t>pbooher@ellsworthks.net</t>
  </si>
  <si>
    <t>www.cityofellsworth.org</t>
  </si>
  <si>
    <t>Amelia Earhart Century Bike Ride</t>
  </si>
  <si>
    <t>annual long-distance bike ride through scenic farmland.</t>
  </si>
  <si>
    <t>200 S. 10th St.</t>
  </si>
  <si>
    <t>(913) 367-4113</t>
  </si>
  <si>
    <t>macbike@hotmail.com</t>
  </si>
  <si>
    <t>www.umacs.net/~macbike</t>
  </si>
  <si>
    <t>Slice of Life Benefit Golf Tournament</t>
  </si>
  <si>
    <t>Benefit Golf tournament.</t>
  </si>
  <si>
    <t>6450 Rd. 16</t>
  </si>
  <si>
    <t>(785) 890-3625</t>
  </si>
  <si>
    <t>www.goodlandregional.com/getpage.php?name=slice</t>
  </si>
  <si>
    <t>Moore Ranch Branding</t>
  </si>
  <si>
    <t>Try your hand at gathering longhorn cows and calves and join in an old-time branding.</t>
  </si>
  <si>
    <t>Sunflower Piecemakers Quilt Show</t>
  </si>
  <si>
    <t>Quilts on display, vendors, demonstrations and a live auction of miniature quilts.</t>
  </si>
  <si>
    <t>13 and Ash</t>
  </si>
  <si>
    <t>Ottawa Middle School</t>
  </si>
  <si>
    <t>(785) 242-1922</t>
  </si>
  <si>
    <t>Old Fashioned 4th of July Celebration</t>
  </si>
  <si>
    <t>A good ol' home town 4th of July celebration.</t>
  </si>
  <si>
    <t>100 Missouri Ave</t>
  </si>
  <si>
    <t>McKnight Field</t>
  </si>
  <si>
    <t>Wild West Festival</t>
  </si>
  <si>
    <t>Premier festival in Western Kansas with huge fireworks display and nightly concerts.</t>
  </si>
  <si>
    <t>Hays Municipal Park</t>
  </si>
  <si>
    <t>2nd St and Main St</t>
  </si>
  <si>
    <t>(785) 623-4476</t>
  </si>
  <si>
    <t>info@wildwestfestival.com</t>
  </si>
  <si>
    <t>www.wildwestfestival.com</t>
  </si>
  <si>
    <t>Wild Bill Hickok in Hays City</t>
  </si>
  <si>
    <t>See re-enactor Wild Bill Hickok in the Saloon at the ECHS as part of the Wild West Fest</t>
  </si>
  <si>
    <t>5th Annual International Miniature Juried Art Show &amp; Sale</t>
  </si>
  <si>
    <t>International juried miniature art exhibit &amp; sale. Prospectus available on the Web site.</t>
  </si>
  <si>
    <t>12 E Peoria St</t>
  </si>
  <si>
    <t>Swan River Museum</t>
  </si>
  <si>
    <t>(913) 294-4940</t>
  </si>
  <si>
    <t>jean@jeancookfineart.com</t>
  </si>
  <si>
    <t>www.artkc.com</t>
  </si>
  <si>
    <t>Pomona Summer in the Park</t>
  </si>
  <si>
    <t>Summer Fun</t>
  </si>
  <si>
    <t>(785) 242-1001</t>
  </si>
  <si>
    <t>4th of July Celebration</t>
  </si>
  <si>
    <t>4th of July, BBQ and one of the biggest fireworks displays in south central Kansas.</t>
  </si>
  <si>
    <t>Hardtner</t>
  </si>
  <si>
    <t>(620) 296-4477</t>
  </si>
  <si>
    <t>Annual event includes walk-run, triathlon, fireworks at dusk and programs at Ft. Larned.</t>
  </si>
  <si>
    <t>4th of July Celebration at Fort Leavenworth</t>
  </si>
  <si>
    <t>Annual celebration with concert, concessions and fireworks.</t>
  </si>
  <si>
    <t>Grant Ave</t>
  </si>
  <si>
    <t>Merritt Lake</t>
  </si>
  <si>
    <t>Fort Leavenworth</t>
  </si>
  <si>
    <t>(913) 684-1702</t>
  </si>
  <si>
    <t>leav-mktg@conus.army.mil</t>
  </si>
  <si>
    <t>4th of July Fireworks Celebration</t>
  </si>
  <si>
    <t>Annual 4th of July celebration at Augusta City Lake / Garvin Park.</t>
  </si>
  <si>
    <t>1900 Washington Ln</t>
  </si>
  <si>
    <t>Garvin Park</t>
  </si>
  <si>
    <t>Fourth of July</t>
  </si>
  <si>
    <t>A picnic, music and fireworks extravaganza!</t>
  </si>
  <si>
    <t>Kansas River Levee</t>
  </si>
  <si>
    <t>Across from Burcham Park</t>
  </si>
  <si>
    <t>(785) 749-1504</t>
  </si>
  <si>
    <t>Fourth of July Celebration</t>
  </si>
  <si>
    <t>Lansing’s July 4th Celebration includes a free fireworks display that is choreographed to music.</t>
  </si>
  <si>
    <t>Kenneth W. Bernard Community Park</t>
  </si>
  <si>
    <t>Sunderman@lansing.ks.us</t>
  </si>
  <si>
    <t>Freedom Fest</t>
  </si>
  <si>
    <t>One of the largest fireworks displays between Denver and Kansas City.</t>
  </si>
  <si>
    <t>317 N Main</t>
  </si>
  <si>
    <t>Sherman County Fairgrounds -- P.O. Box 888</t>
  </si>
  <si>
    <t>(785) 821-2120</t>
  </si>
  <si>
    <t>aduell@st-tel.net</t>
  </si>
  <si>
    <t>www.freedomfest.shermanfairgrounds.com</t>
  </si>
  <si>
    <t>Freedom Safari</t>
  </si>
  <si>
    <t>Celebrate Independence Day with free zoo admission for kids 12 and under!</t>
  </si>
  <si>
    <t>Rolling Hills Wildlife Adventure</t>
  </si>
  <si>
    <t>dtasker@rollinghillswildlife.com</t>
  </si>
  <si>
    <t>Ft. Larned Independence Day Celebration</t>
  </si>
  <si>
    <t>Living History weekend with special activites on July 4th</t>
  </si>
  <si>
    <t>1767 KS Hwy. 156</t>
  </si>
  <si>
    <t>Glorious Fourth</t>
  </si>
  <si>
    <t>Fourth of July Event in Ottawa Kansas</t>
  </si>
  <si>
    <t>5th &amp; Main Streets</t>
  </si>
  <si>
    <t>(785) 242-1232</t>
  </si>
  <si>
    <t>Harper County 4th of July</t>
  </si>
  <si>
    <t>Fireworks fishing, talent, Hot Dog Eating Contest, Turtle Races, Volleyball tournament.</t>
  </si>
  <si>
    <t>Anthony City Lake</t>
  </si>
  <si>
    <t>1 mile N of Anthony</t>
  </si>
  <si>
    <t>Independence Day at Forest Park</t>
  </si>
  <si>
    <t>See Independence Day Fireworks at Forest Park.</t>
  </si>
  <si>
    <t>600 N Locust</t>
  </si>
  <si>
    <t>Forest Park</t>
  </si>
  <si>
    <t>(785) 242-3901</t>
  </si>
  <si>
    <t>Peabody 91st Annual Fourth of July Celebration</t>
  </si>
  <si>
    <t>4th of July Celebration. Kansas' largest set piece display &amp; fireworks culminates this festival.</t>
  </si>
  <si>
    <t>Peabody City Park</t>
  </si>
  <si>
    <t>PO Box 74</t>
  </si>
  <si>
    <t>Peabody</t>
  </si>
  <si>
    <t>(620) 983-2174</t>
  </si>
  <si>
    <t>(620) 983-2786</t>
  </si>
  <si>
    <t>pmsa@peabodyks.com</t>
  </si>
  <si>
    <t>www.peabodyks.com</t>
  </si>
  <si>
    <t>Thunder Over Manhattan</t>
  </si>
  <si>
    <t>A fun-filled citywide event.</t>
  </si>
  <si>
    <t>CiCo Park</t>
  </si>
  <si>
    <t>(785) 539-7411</t>
  </si>
  <si>
    <t>richs@kaupfurn.kscoxmail.com</t>
  </si>
  <si>
    <t>Short Cattle Drive</t>
  </si>
  <si>
    <t>Drive longhorn cattle 14 miles to new pasture. Experience cowboy lifestyle firsthand.</t>
  </si>
  <si>
    <t>Salute: Festival of Wine &amp; Food</t>
  </si>
  <si>
    <t>Festival for wine lovers of all levels and tastes.</t>
  </si>
  <si>
    <t>(785) 842-0550</t>
  </si>
  <si>
    <t>www.salutewinefest.com/</t>
  </si>
  <si>
    <t>D&amp;J Shows Carnival</t>
  </si>
  <si>
    <t>Bring the family out for carnival rides for kids of all ages.</t>
  </si>
  <si>
    <t>Richmond Free Fair</t>
  </si>
  <si>
    <t>Activities include: horseshoe pitch, coed volleyball, dance, parade and 4-H exhibits.</t>
  </si>
  <si>
    <t>Fairgrounds</t>
  </si>
  <si>
    <t>Richmond</t>
  </si>
  <si>
    <t>(785) 835-6365</t>
  </si>
  <si>
    <t>Choral Showcase Concert</t>
  </si>
  <si>
    <t>Choral Showcase Concert.</t>
  </si>
  <si>
    <t>Blues, BBQ and Bargains Weekend</t>
  </si>
  <si>
    <t>Enjoy Blues music and great tasting BBQ while you shop downtown Hays and at The Mall.</t>
  </si>
  <si>
    <t>Hays Chamber of Commerce</t>
  </si>
  <si>
    <t>Fort Harker Days and Frontier Living History</t>
  </si>
  <si>
    <t>Experience a Kansas Fort's role in settling the West.</t>
  </si>
  <si>
    <t>101 N Kansas Ave</t>
  </si>
  <si>
    <t>Kanopolis</t>
  </si>
  <si>
    <t>(785) 472-4444</t>
  </si>
  <si>
    <t>(785) 472-5869</t>
  </si>
  <si>
    <t>echs@eaglecom.net</t>
  </si>
  <si>
    <t>The Sound of Music</t>
  </si>
  <si>
    <t>Great Planes on the Great Plains Fly In</t>
  </si>
  <si>
    <t>Fun family day with demonstrations, remote control static displays and kids games.</t>
  </si>
  <si>
    <t>3950 E. 8th</t>
  </si>
  <si>
    <t>Hays Regional Airport</t>
  </si>
  <si>
    <t>(785) 628-7350</t>
  </si>
  <si>
    <t>sbeisner@haysusa.com</t>
  </si>
  <si>
    <t>www.haysusa.net</t>
  </si>
  <si>
    <t>Grant County Free Fair &amp; Parade</t>
  </si>
  <si>
    <t>Events for the entire family.</t>
  </si>
  <si>
    <t>(620) 356-1808</t>
  </si>
  <si>
    <t>www.grantcoks.org</t>
  </si>
  <si>
    <t>Ellis County Fair</t>
  </si>
  <si>
    <t>A traditional county fair with stock car races and rodeo.</t>
  </si>
  <si>
    <t>1344 W. Fairground Rd</t>
  </si>
  <si>
    <t>Ellis County Fairgrounds</t>
  </si>
  <si>
    <t>(785) 628-8820</t>
  </si>
  <si>
    <t>fross4@ruraltel.net</t>
  </si>
  <si>
    <t>www.elliscountyfair.com</t>
  </si>
  <si>
    <t>Blackberry Festival at Summit Hill Gardens</t>
  </si>
  <si>
    <t>Handmade soaps, lotions, gardens in an historic setting.</t>
  </si>
  <si>
    <t>2605 160th Road</t>
  </si>
  <si>
    <t>(620) 212-3878</t>
  </si>
  <si>
    <t>summithillgardens@yahoo.com</t>
  </si>
  <si>
    <t>www.summithillgardens.com</t>
  </si>
  <si>
    <t>Pawnee County Fair</t>
  </si>
  <si>
    <t>Community event for 4-H and open class exhibits and activities.</t>
  </si>
  <si>
    <t>400 E 18th</t>
  </si>
  <si>
    <t>Pawnee Co. Fairgrounds &amp; Community Center</t>
  </si>
  <si>
    <t>(620) 285-6901</t>
  </si>
  <si>
    <t>pn@list.oznet.ksu.edu</t>
  </si>
  <si>
    <t>www.pawnee.ksu.edu</t>
  </si>
  <si>
    <t>Franklin County Fair &amp; Rodeo</t>
  </si>
  <si>
    <t>Come for the URA rodeo, exhibits, demolition derby, 4-H displays, carnival and livestock auction.</t>
  </si>
  <si>
    <t>Fairgrounds - 17th &amp; Main Street</t>
  </si>
  <si>
    <t>(785) 255-4554</t>
  </si>
  <si>
    <t>Broadway RFD</t>
  </si>
  <si>
    <t>"Theatre under the stars."</t>
  </si>
  <si>
    <t>Bandshell in Swensson Park</t>
  </si>
  <si>
    <t>http://www.broadwayrfd.org/</t>
  </si>
  <si>
    <t>Cuba Harvest Festival</t>
  </si>
  <si>
    <t>Fun for young and old with entertainment for all.</t>
  </si>
  <si>
    <t>and City Park</t>
  </si>
  <si>
    <t>(785) 729-3854</t>
  </si>
  <si>
    <t>Kansas INT Water-ski/Wakeboard Tour</t>
  </si>
  <si>
    <t>Water-ski, wakeboard, wakeskate &amp; kneeboard tournament on Lake Garnett.</t>
  </si>
  <si>
    <t>510 N. Lake Road</t>
  </si>
  <si>
    <t>Lake Garnett</t>
  </si>
  <si>
    <t>(913) 908-1768</t>
  </si>
  <si>
    <t>kansas@intleague.com</t>
  </si>
  <si>
    <t>www.intleague.com</t>
  </si>
  <si>
    <t>Mowbray Metric</t>
  </si>
  <si>
    <t>Annual bicycle ride weekend.</t>
  </si>
  <si>
    <t>210 N Elm</t>
  </si>
  <si>
    <t>Park School</t>
  </si>
  <si>
    <t>(620) 241-0350</t>
  </si>
  <si>
    <t>mowbraymetric@hotmail.com</t>
  </si>
  <si>
    <t>Barber County Fair</t>
  </si>
  <si>
    <t>Barber County Fair, Hardtner, Kansas, at County Fairgrounds</t>
  </si>
  <si>
    <t>Barber County Extension Office</t>
  </si>
  <si>
    <t>Courthouse</t>
  </si>
  <si>
    <t>(620) 886-3971</t>
  </si>
  <si>
    <t>Barber County Fair PRO Rodeo</t>
  </si>
  <si>
    <t>Professional rodeo the first days of the Barber County Fair.</t>
  </si>
  <si>
    <t>Chickasaw Street South</t>
  </si>
  <si>
    <t>Barber County Fairgrounds</t>
  </si>
  <si>
    <t>Wichita County Fair</t>
  </si>
  <si>
    <t>Come to the Wichita County Fair, July 27-30, where “It’s More Than Just Cows and Cookin’!”</t>
  </si>
  <si>
    <t>800 E. Highway 96</t>
  </si>
  <si>
    <t>Leoti</t>
  </si>
  <si>
    <t>(620) 375-2724</t>
  </si>
  <si>
    <t>www.wichitacountyfair.com</t>
  </si>
  <si>
    <t>Kaw Valley Rodeo</t>
  </si>
  <si>
    <t>A full three evenings of rodeo events. Come watch the top professionals of the sport compete.</t>
  </si>
  <si>
    <t>(785) 537-8366</t>
  </si>
  <si>
    <t>rburns@twinvalley.net</t>
  </si>
  <si>
    <t>Riley County Fair</t>
  </si>
  <si>
    <t>Riley County's annual 4-H Fair includes exhibits, a carnival, music contests and the PRCA rodeo.</t>
  </si>
  <si>
    <t>Avery Ave</t>
  </si>
  <si>
    <t>(785) 537-6350</t>
  </si>
  <si>
    <t>info@rileycountyfair.com</t>
  </si>
  <si>
    <t>http://www.rileycountyfair.com/</t>
  </si>
  <si>
    <t>Kansas Shrine Bowl</t>
  </si>
  <si>
    <t>A state-wide annual football game to benefit Shriners Hospitals.</t>
  </si>
  <si>
    <t>1200 Commercial St</t>
  </si>
  <si>
    <t>Welch Stadium</t>
  </si>
  <si>
    <t>srathke@emporiakschamber.org</t>
  </si>
  <si>
    <t>Douglas County Free Fair 2011</t>
  </si>
  <si>
    <t>Annual County Fair.</t>
  </si>
  <si>
    <t>(785) 843-7058</t>
  </si>
  <si>
    <t>Musical "Happy Days"</t>
  </si>
  <si>
    <t>Play performed in a 1930's Art Deco Theater.</t>
  </si>
  <si>
    <t>Courtland Fun Day</t>
  </si>
  <si>
    <t>A day of fun in Courtland.</t>
  </si>
  <si>
    <t>Courtland</t>
  </si>
  <si>
    <t>(785) 374-4460</t>
  </si>
  <si>
    <t>Cruise Nite</t>
  </si>
  <si>
    <t>Annual "Cruise the Route"</t>
  </si>
  <si>
    <t>(785) 336-2294</t>
  </si>
  <si>
    <t>www.seneca-kansas.us</t>
  </si>
  <si>
    <t>Seneca Car Show</t>
  </si>
  <si>
    <t>26th annual car show</t>
  </si>
  <si>
    <t>11th St</t>
  </si>
  <si>
    <t>(785) 336-2113</t>
  </si>
  <si>
    <t>Douglas County Free Fair</t>
  </si>
  <si>
    <t>Annual Douglas County free fair.</t>
  </si>
  <si>
    <t>2120 Harper St</t>
  </si>
  <si>
    <t>visinfo@visitlawrence.com</t>
  </si>
  <si>
    <t>www.visitlawrence.com</t>
  </si>
  <si>
    <t>NCK Free Fair</t>
  </si>
  <si>
    <t>Many exhibits, commercial, 4-H and FFA. Entertainment and carnival.</t>
  </si>
  <si>
    <t>9th and O St</t>
  </si>
  <si>
    <t>(785) 527-5554</t>
  </si>
  <si>
    <t>(877) 248-3462</t>
  </si>
  <si>
    <t>Southwest Kansas Pro-Am Golf Tournament</t>
  </si>
  <si>
    <t>Golf tournament.</t>
  </si>
  <si>
    <t>77 Grandview Dr</t>
  </si>
  <si>
    <t>(620) 276-1210</t>
  </si>
  <si>
    <t>Southwest Kansas Pro-Am Tourney</t>
  </si>
  <si>
    <t>Garden City is host to the premeir golf event of the year.</t>
  </si>
  <si>
    <t>5685 S Hwy 83</t>
  </si>
  <si>
    <t>5685 s. Hwy 83</t>
  </si>
  <si>
    <t>Belleville Midget Nationals</t>
  </si>
  <si>
    <t>One of the biggest midget events in the country drawing best cars and drivers around.</t>
  </si>
  <si>
    <t>Belleville High Banks Race Track</t>
  </si>
  <si>
    <t>(785) 527-2488</t>
  </si>
  <si>
    <t>www.highbanks.org</t>
  </si>
  <si>
    <t>Lincoln County Fair</t>
  </si>
  <si>
    <t>Lincoln County Fair's 103rd year!</t>
  </si>
  <si>
    <t>Hwy 181</t>
  </si>
  <si>
    <t>Sylvan Grove</t>
  </si>
  <si>
    <t>(785) 524-4432</t>
  </si>
  <si>
    <t>Brick Street Nationals Car Show</t>
  </si>
  <si>
    <t>Show features 300+ vehicles and is open to all classes.</t>
  </si>
  <si>
    <t>500 State Street</t>
  </si>
  <si>
    <t>(316) 775-1999</t>
  </si>
  <si>
    <t>Professional Bull Riders</t>
  </si>
  <si>
    <t>Thunder on the Plains</t>
  </si>
  <si>
    <t>417 N. Main</t>
  </si>
  <si>
    <t>(785) 899-7466</t>
  </si>
  <si>
    <t>http://www.pbrnow.com/</t>
  </si>
  <si>
    <t>KART Go-Kart Road Races</t>
  </si>
  <si>
    <t>See sanctioned go-kart racing around Lake Garnett's 2.8 true road course.</t>
  </si>
  <si>
    <t>Park Rd and North Lake Rd</t>
  </si>
  <si>
    <t>(785) 448-3589</t>
  </si>
  <si>
    <t>info@garnettks.net</t>
  </si>
  <si>
    <t>www.garnettks.net</t>
  </si>
  <si>
    <t>Southwest Kansas Pro-Am Golf Tournament.</t>
  </si>
  <si>
    <t>5675 S Hwy 83</t>
  </si>
  <si>
    <t>Buffalo Dunes Golf Course</t>
  </si>
  <si>
    <t>Strecker-Nelson Gallery Exhibit: Abstract</t>
  </si>
  <si>
    <t>Art enhances your quality of life!</t>
  </si>
  <si>
    <t>barbara@strecker-nelsongallery.com</t>
  </si>
  <si>
    <t>Atchison County Fair</t>
  </si>
  <si>
    <t>Parade, exhibits, food, a carnival and more.</t>
  </si>
  <si>
    <t>Atchison County Fairgrounds</t>
  </si>
  <si>
    <t>Effingham</t>
  </si>
  <si>
    <t>(913) 833-5450</t>
  </si>
  <si>
    <t>cladd@oznet.ksu.edu</t>
  </si>
  <si>
    <t>Leavenworth County Fair</t>
  </si>
  <si>
    <t>Parade, rodeo, exhibits, games, food, livestock auction and entertainment.</t>
  </si>
  <si>
    <t>Hwy 24/40 and Hwy 16</t>
  </si>
  <si>
    <t>(913) 683-4483</t>
  </si>
  <si>
    <t>flatrockgelbvieh@yahoo.com</t>
  </si>
  <si>
    <t>www.leavenworthcountyfair.com</t>
  </si>
  <si>
    <t>PINKALICIOUS</t>
  </si>
  <si>
    <t>Rooks County Free Fair</t>
  </si>
  <si>
    <t>The 133rd Fair features concerts, races, demolition derby, exhibits and carnival.</t>
  </si>
  <si>
    <t>900 S Walnut</t>
  </si>
  <si>
    <t>(785) 425-7189</t>
  </si>
  <si>
    <t>rcff@ruraltel.net</t>
  </si>
  <si>
    <t>www.rookscountyfreefair.com</t>
  </si>
  <si>
    <t>Civil War on the Western Frontier</t>
  </si>
  <si>
    <t>Lawrence commemorates its early history each August around the anniversary of Quantrill's Raid.</t>
  </si>
  <si>
    <t>Sites through out Lawrence</t>
  </si>
  <si>
    <t>(785) 856-3040</t>
  </si>
  <si>
    <t>www.visitlawrence.com/visitor/history/civilwarhistory/civil_war_western_fr/</t>
  </si>
  <si>
    <t>Cowgirl Getaway</t>
  </si>
  <si>
    <t>Gals head out to the ranch to learn cowgirl skills like roping and riding.</t>
  </si>
  <si>
    <t>5th Annual Topeka Railroad Festival</t>
  </si>
  <si>
    <t>5th Annual Topeka Railroad Festival.</t>
  </si>
  <si>
    <t>701 N Kansas Avenue</t>
  </si>
  <si>
    <t>Youth Outdoor Festival</t>
  </si>
  <si>
    <t>Day of supervised target shooting for youth ages 17 and under.</t>
  </si>
  <si>
    <t>5810 230 Ave</t>
  </si>
  <si>
    <t>Hays City Sportsman’s Club</t>
  </si>
  <si>
    <t>(785) 726-3212</t>
  </si>
  <si>
    <t>(785) 726-3244</t>
  </si>
  <si>
    <t>kenth@wp.state.ks.us</t>
  </si>
  <si>
    <t>Roots Festival</t>
  </si>
  <si>
    <t>Jazz, Blues, Family Entertainment, Arts &amp; Crafts, BBQ Cook-off</t>
  </si>
  <si>
    <t>Paola's Historic Downtown Square</t>
  </si>
  <si>
    <t>19 S. Silver Street</t>
  </si>
  <si>
    <t>(913) 294-6427</t>
  </si>
  <si>
    <t>lmott@classicnet.net</t>
  </si>
  <si>
    <t>http://www.rootsfestival.org</t>
  </si>
  <si>
    <t>22nd Annual Polka Fest</t>
  </si>
  <si>
    <t>Polka music under the stars.</t>
  </si>
  <si>
    <t>Rock, Roll &amp; Ride Car Show 2012</t>
  </si>
  <si>
    <t>8th annual car, truck, street-rod, race car, high school class &amp; imports show.</t>
  </si>
  <si>
    <t>4450 Vine</t>
  </si>
  <si>
    <t>Lewis Ford</t>
  </si>
  <si>
    <t>(785) 625-3441</t>
  </si>
  <si>
    <t>dlaugustine@hotmail.com</t>
  </si>
  <si>
    <t>www.buylewis.com</t>
  </si>
  <si>
    <t>Wellsville Car Show 2011</t>
  </si>
  <si>
    <t>Come and cruise the bricks on Main Street.</t>
  </si>
  <si>
    <t>(785) 883-2559</t>
  </si>
  <si>
    <t>www.wellsvillechamber.com</t>
  </si>
  <si>
    <t>22nd Annual Lake Shawnee Traditional Pow Wow</t>
  </si>
  <si>
    <t>22nd Annual Lake Shawnee Traditional Pow Wow.</t>
  </si>
  <si>
    <t>Tinman Circle</t>
  </si>
  <si>
    <t>Reynolds Lodge</t>
  </si>
  <si>
    <t>(785) 266-8248</t>
  </si>
  <si>
    <t>Annual Labor Day Celebration</t>
  </si>
  <si>
    <t>116th Annual Celebration with a weekend full of activities for the entire family.</t>
  </si>
  <si>
    <t>123 N Main St</t>
  </si>
  <si>
    <t>23nd Annual Post Rock Classic 5K Run/walk</t>
  </si>
  <si>
    <t>23nd Annual Post Rock Classic includes a 5K Run, 2-mile walk and more.</t>
  </si>
  <si>
    <t>(785) 524-5212</t>
  </si>
  <si>
    <t>lcoc137@sbcglobal.net</t>
  </si>
  <si>
    <t>Post Rock Festival</t>
  </si>
  <si>
    <t>Post Rock Festival, Labor Day Saturday, Lincoln, Kansas</t>
  </si>
  <si>
    <t>216 E. Lincoln</t>
  </si>
  <si>
    <t>(785) 524-4934</t>
  </si>
  <si>
    <t>http://getruralkansas.com/Lincoln/59Events/86.shtml</t>
  </si>
  <si>
    <t>Labor Day Celebration at Fort Larned</t>
  </si>
  <si>
    <t>Living history of daily life at Fort Larned plus activities in Larned.</t>
  </si>
  <si>
    <t>Watermelon Festival</t>
  </si>
  <si>
    <t>Family Fun for over 100 years!</t>
  </si>
  <si>
    <t>334 Washington Street</t>
  </si>
  <si>
    <t>Clyde</t>
  </si>
  <si>
    <t>Raymond Labor Day Parade &amp; Cookout</t>
  </si>
  <si>
    <t>PARADE AT 10:00 AM, COOKOUT FOLLOWING PARADE. MEAT PROVIDED - SIDE DISH REQUESTED</t>
  </si>
  <si>
    <t>709 MAIN - RAYMOND GYM</t>
  </si>
  <si>
    <t>Line up at 5th &amp; Main</t>
  </si>
  <si>
    <t>Raymond</t>
  </si>
  <si>
    <t>Labor Day Celebration</t>
  </si>
  <si>
    <t>Labor Day is a big reunion day, brings people home to Kiowa.</t>
  </si>
  <si>
    <t>Kiowa City Park</t>
  </si>
  <si>
    <t>Short September Cattle Drive</t>
  </si>
  <si>
    <t>Experience cowboy lifestyle firsthand by driving longhorn cattle to Medicine Lodge.</t>
  </si>
  <si>
    <t>Walnut Valley Festival Land Rush</t>
  </si>
  <si>
    <t>Huge "Land Rush" to get the best campsites for the Walnut Valley Festival!</t>
  </si>
  <si>
    <t>Winfield Fairgrounds</t>
  </si>
  <si>
    <t>(620) 221-3250</t>
  </si>
  <si>
    <t>www.wvfest.com</t>
  </si>
  <si>
    <t>Purple Power Play on Poyntz</t>
  </si>
  <si>
    <t>Kick off the Kansas State University football season at Manhattan's huge pep rally.</t>
  </si>
  <si>
    <t>Poyntz Ave and Third St</t>
  </si>
  <si>
    <t>(785) 537-9683</t>
  </si>
  <si>
    <t>downtownmanhattan@sbcglobal.net</t>
  </si>
  <si>
    <t>http://downtown.manhattanks.org</t>
  </si>
  <si>
    <t>Buffalo Bill Days - Begining of a New Era</t>
  </si>
  <si>
    <t>Leavenworth celebrates native son, Buffalo Bill Cody with Wild West fun!</t>
  </si>
  <si>
    <t>7th &amp; Cherokee Sts</t>
  </si>
  <si>
    <t>Haymarket Square</t>
  </si>
  <si>
    <t>Mexican Fiesta</t>
  </si>
  <si>
    <t>94th annual celebration of Mexican heritage.</t>
  </si>
  <si>
    <t>3000 S Santa Fe</t>
  </si>
  <si>
    <t>Santa Fe Park</t>
  </si>
  <si>
    <t>State fair. Kansas' largest event.</t>
  </si>
  <si>
    <t>Kansas State Fairgrounds</t>
  </si>
  <si>
    <t>(620) 669-3600</t>
  </si>
  <si>
    <t>(800) 362-3247</t>
  </si>
  <si>
    <t>info@kansasstatefair.com</t>
  </si>
  <si>
    <t>www.kansasstatefair.com</t>
  </si>
  <si>
    <t>2012 Power of the Past Antique Engine &amp; Tractor Show</t>
  </si>
  <si>
    <t>18th annual antique engine and tractor show features over 500 on display.</t>
  </si>
  <si>
    <t>(785) 242-2686</t>
  </si>
  <si>
    <t>www.powerofthepast.net</t>
  </si>
  <si>
    <t>Lenexa Spinach Festival</t>
  </si>
  <si>
    <t>Lenexa was hailed as the “Spinach Capital of the World” during the 1930’s!</t>
  </si>
  <si>
    <t>14907 W 87th Street Parkway</t>
  </si>
  <si>
    <t>Sar Ko Par Trails Park</t>
  </si>
  <si>
    <t>www.ci.lenexa.ks.us/parks/spinachfestival.html</t>
  </si>
  <si>
    <t>Haskell Indian Art Market</t>
  </si>
  <si>
    <t>Annual Native American Art Market.</t>
  </si>
  <si>
    <t>25th and Massachusetts</t>
  </si>
  <si>
    <t>Haskell Indian Nations University</t>
  </si>
  <si>
    <t>(785) 843-6830</t>
  </si>
  <si>
    <t>www.haskell.edu</t>
  </si>
  <si>
    <t>Paint America</t>
  </si>
  <si>
    <t>Paint America.</t>
  </si>
  <si>
    <t>Fall Arts &amp; Crafts Festival</t>
  </si>
  <si>
    <t>Annual festival presenting handmade crafts and original artwork.</t>
  </si>
  <si>
    <t>1120 Massachusetts</t>
  </si>
  <si>
    <t>Music Mini Fest</t>
  </si>
  <si>
    <t>A showcase of traditional acoustic music.</t>
  </si>
  <si>
    <t>700 Gary</t>
  </si>
  <si>
    <t>www.winfieldarts.com</t>
  </si>
  <si>
    <t>41st Annual Walnut Valley Festival and National Flatpicking Championships</t>
  </si>
  <si>
    <t>World-famous bluegrass and acoustic music festival</t>
  </si>
  <si>
    <t>Highway 36 Great Treasure Hunt</t>
  </si>
  <si>
    <t>Annual US Highway 36 border-to-border garage sale</t>
  </si>
  <si>
    <t>34th Annual Art in the Park and Craft Show</t>
  </si>
  <si>
    <t>Artists from all over the U.S. display thier wares. FREE Shuttle Bus Service. Large Food Court.</t>
  </si>
  <si>
    <t>501 East Main</t>
  </si>
  <si>
    <t>www.marionks.com</t>
  </si>
  <si>
    <t>7th Annual FNB FallFest</t>
  </si>
  <si>
    <t>Car show, kids games, food vendors, entertainment for the whole family. US 36 Garage Sale hot spot</t>
  </si>
  <si>
    <t>Courthouse Square</t>
  </si>
  <si>
    <t>Washington</t>
  </si>
  <si>
    <t>(785) 325-2221</t>
  </si>
  <si>
    <t>info@fnbwashington.com</t>
  </si>
  <si>
    <t>www.fnbwashington.com</t>
  </si>
  <si>
    <t>Frontier Open Disc Golf Tournament</t>
  </si>
  <si>
    <t>Regional disc golf event with tournament play. Teams from a five state area compete.</t>
  </si>
  <si>
    <t>Frontier Park-1st &amp; Main</t>
  </si>
  <si>
    <t>(785) 259-3158</t>
  </si>
  <si>
    <t>bestraight@scatcat.fhsu.edu</t>
  </si>
  <si>
    <t>Polka bands, German food, craft booths, dancing, kids' games, German storytelling and singing.</t>
  </si>
  <si>
    <t>230th Ave &amp; Fairground Rd</t>
  </si>
  <si>
    <t>(785) 625-5394</t>
  </si>
  <si>
    <t>www.midwestdeutschefest.com</t>
  </si>
  <si>
    <t>9th Annual Bald Eagle Rendezvous 2012</t>
  </si>
  <si>
    <t>19th Century Fur Trade living history encampment at Lecompton's scenic Bald Eagle Park.</t>
  </si>
  <si>
    <t>100 E Second St</t>
  </si>
  <si>
    <t>BroomWeed BlueGrass Jam</t>
  </si>
  <si>
    <t>Bluegrass jam sessions and concerts.</t>
  </si>
  <si>
    <t>319 Broadway St</t>
  </si>
  <si>
    <t>McPherson Scottish Festival &amp; Highland Games</t>
  </si>
  <si>
    <t>Highland games, piping and dance competitions. Entertainers and exhibitors.</t>
  </si>
  <si>
    <t>306 N Main</t>
  </si>
  <si>
    <t>Lakeside Park</t>
  </si>
  <si>
    <t>(620) 241-3340</t>
  </si>
  <si>
    <t>cvb@mcphersonks.org</t>
  </si>
  <si>
    <t>http://www.macfestival.org</t>
  </si>
  <si>
    <t>Indian Summer Western Art Show</t>
  </si>
  <si>
    <t>Award winning art from the historical west to contemporary work by nationally known artists.</t>
  </si>
  <si>
    <t>121 South Main</t>
  </si>
  <si>
    <t>People's Sunflower Room</t>
  </si>
  <si>
    <t>(620) 886-5163</t>
  </si>
  <si>
    <t>(877) 471-8600</t>
  </si>
  <si>
    <t>earlkuhn@sbcglobal.net</t>
  </si>
  <si>
    <t>www.earlkuhn.com</t>
  </si>
  <si>
    <t>Kansas Championship Ranch Rodeo celebrates 150 years of Kansas Ranching Heritage.</t>
  </si>
  <si>
    <t>South Rodeo Rd</t>
  </si>
  <si>
    <t>103 East Washington (office)</t>
  </si>
  <si>
    <t>(620) 886-9815</t>
  </si>
  <si>
    <t>ptreaty@sctelcom.net</t>
  </si>
  <si>
    <t>www.peacetreaty.org</t>
  </si>
  <si>
    <t>Fall celebration with German food and entertainment.</t>
  </si>
  <si>
    <t>(620) 255-5834</t>
  </si>
  <si>
    <t>Old Settler's Day</t>
  </si>
  <si>
    <t>Annual event featuring big parade, followed by food and games in shady park.</t>
  </si>
  <si>
    <t>(620) 382-2115</t>
  </si>
  <si>
    <t>geno@eaglecom.net</t>
  </si>
  <si>
    <t xml:space="preserve">For Full Runs: </t>
  </si>
  <si>
    <t>"October Sky" is Third Film in Agent of Change Series</t>
  </si>
  <si>
    <t>Railroad: Transcontinental, 1865-1880 &amp; Railroad: The Golden Age, 1880-1916</t>
  </si>
  <si>
    <t>Nov. 4-6 &amp; 10-13, 2011                  By: William Shakespeare</t>
  </si>
  <si>
    <t>April 27-29 &amp; May 3-6, 2012   directed by Fred Burrack</t>
  </si>
  <si>
    <t>Feb 24-26 &amp; March 1-4, 2012 directed by Dave Smit</t>
  </si>
  <si>
    <t>Douglas</t>
  </si>
  <si>
    <t xml:space="preserve">7/27-8/5 </t>
  </si>
  <si>
    <t>Lawrence, KS</t>
  </si>
  <si>
    <t>Dept. Commerce</t>
  </si>
  <si>
    <t>Kansas State Fair Grounds</t>
  </si>
  <si>
    <t>Hutchinson, KS</t>
  </si>
  <si>
    <t>9 days</t>
  </si>
  <si>
    <t>5 days</t>
  </si>
  <si>
    <t>4 days</t>
  </si>
  <si>
    <t>Tuttle Creek State Park</t>
  </si>
  <si>
    <t>Early Rod Run</t>
  </si>
  <si>
    <t>Atwood, KS</t>
  </si>
  <si>
    <t xml:space="preserve">Survey </t>
  </si>
  <si>
    <t>Rawlins</t>
  </si>
  <si>
    <t>El Dorado, KS</t>
  </si>
  <si>
    <t>11/3/11-11/11/11</t>
  </si>
  <si>
    <t>Butler</t>
  </si>
  <si>
    <t>7/14/12-7/22/12</t>
  </si>
  <si>
    <t>Hays, KS</t>
  </si>
  <si>
    <t>8 days</t>
  </si>
  <si>
    <t>Arkansas City, KS</t>
  </si>
  <si>
    <t>11/4/11-11/11/11</t>
  </si>
  <si>
    <t>Emporia, KS</t>
  </si>
  <si>
    <t>Internet</t>
  </si>
  <si>
    <t>4/1/12-4/8/12</t>
  </si>
  <si>
    <t>Lindsborg, KS</t>
  </si>
  <si>
    <t>Grant</t>
  </si>
  <si>
    <t>7/14/12 - 7/21/12</t>
  </si>
  <si>
    <t>Ulysses, KS</t>
  </si>
  <si>
    <t>Ottawa, KS</t>
  </si>
  <si>
    <t>7 days</t>
  </si>
  <si>
    <t>11/5/11 - 11/11/11</t>
  </si>
  <si>
    <t>Lyon</t>
  </si>
  <si>
    <t>Franklin</t>
  </si>
  <si>
    <t>9/26/11 - 10/1/11</t>
  </si>
  <si>
    <t>Augusta, KS</t>
  </si>
  <si>
    <t>6 days</t>
  </si>
  <si>
    <t>Garden City, KS</t>
  </si>
  <si>
    <t>Grant County Fair Grounds</t>
  </si>
  <si>
    <t>Finney</t>
  </si>
  <si>
    <t>Rooks</t>
  </si>
  <si>
    <t>8/13/12 - 8/18/12</t>
  </si>
  <si>
    <t>Stockton, KS</t>
  </si>
  <si>
    <t>2nd St. &amp; Main St.</t>
  </si>
  <si>
    <t>6/30/12 - 7/4/12</t>
  </si>
  <si>
    <t>Riley</t>
  </si>
  <si>
    <t>7/26/12 - 7/30/12</t>
  </si>
  <si>
    <t>Belleville, KS</t>
  </si>
  <si>
    <t>7/31/12 - 8/4/12</t>
  </si>
  <si>
    <t>8/7/12 - 8/11/12</t>
  </si>
  <si>
    <t>Effingham, KS</t>
  </si>
  <si>
    <t>Tonganoxie, KS</t>
  </si>
  <si>
    <t>Internationl Pancake Day Festival</t>
  </si>
  <si>
    <t>Liberal, KS</t>
  </si>
  <si>
    <t>2/18/12 - 2/21/12</t>
  </si>
  <si>
    <t>Seward</t>
  </si>
  <si>
    <t>Republic</t>
  </si>
  <si>
    <t>Pawnee</t>
  </si>
  <si>
    <t>7/18/12 - 7/21/12</t>
  </si>
  <si>
    <t>Larned, KS</t>
  </si>
  <si>
    <t>7/25/12 - 7/28/12</t>
  </si>
  <si>
    <t>Leoti, KS</t>
  </si>
  <si>
    <t xml:space="preserve">Lincoln </t>
  </si>
  <si>
    <t>8/3/12 - 8/6/12</t>
  </si>
  <si>
    <t>Sylvan Grove, KS</t>
  </si>
  <si>
    <t>8/31/12 - 9/3/12</t>
  </si>
  <si>
    <t>Hoisington, KS</t>
  </si>
  <si>
    <t>Kincaid Free Fair</t>
  </si>
  <si>
    <t>Barton</t>
  </si>
  <si>
    <t>Cloud</t>
  </si>
  <si>
    <t>9/29/11 - 10/1/11</t>
  </si>
  <si>
    <t>3 days</t>
  </si>
  <si>
    <t>Kincaid, KS</t>
  </si>
  <si>
    <t>Anderson</t>
  </si>
  <si>
    <t>Andover, KS</t>
  </si>
  <si>
    <t>10/7/11 - 10/9/11</t>
  </si>
  <si>
    <t>Columbus, KS</t>
  </si>
  <si>
    <t>Cherokee</t>
  </si>
  <si>
    <t>Columus Hot Air Balloon Regatta</t>
  </si>
  <si>
    <t>Canton, KS</t>
  </si>
  <si>
    <t>12/2/11 - 12/4/11</t>
  </si>
  <si>
    <t>Sunflower Balloon Fest</t>
  </si>
  <si>
    <t>5/11/12 - 5/13/12</t>
  </si>
  <si>
    <t>Anthony, KS</t>
  </si>
  <si>
    <t>2 miles West of Anthony, KS</t>
  </si>
  <si>
    <t>Harper</t>
  </si>
  <si>
    <t>5/24/12- 5/26/12</t>
  </si>
  <si>
    <t>Strong City, KS</t>
  </si>
  <si>
    <t>6/1/12 - 6/3/12</t>
  </si>
  <si>
    <t>Marion, KS</t>
  </si>
  <si>
    <t>Paradise Creek Festival  &amp; Rodeo</t>
  </si>
  <si>
    <t>6/8/12 - 6/10/12</t>
  </si>
  <si>
    <t>Plainville, KS</t>
  </si>
  <si>
    <t>Chase</t>
  </si>
  <si>
    <t>Overland Park, KS</t>
  </si>
  <si>
    <t>Johnson</t>
  </si>
  <si>
    <t>Derby days Festival</t>
  </si>
  <si>
    <t>6/20/12 - 6/22/12</t>
  </si>
  <si>
    <t>Derby, KS</t>
  </si>
  <si>
    <t>Sedgwick</t>
  </si>
  <si>
    <t>7/7/12 - 7/9/12</t>
  </si>
  <si>
    <t>7/12/12 - 7/14/12</t>
  </si>
  <si>
    <t>Richmond, KS</t>
  </si>
  <si>
    <t>Barber County Fair &amp; PRO Rodeo</t>
  </si>
  <si>
    <t>Hardtner, KS</t>
  </si>
  <si>
    <t>7/26/12 - 7/28/12</t>
  </si>
  <si>
    <t>Lake Shawnee Traditional Pow Wow</t>
  </si>
  <si>
    <t>8/31/12 - 9/2/12</t>
  </si>
  <si>
    <t>Topeka, KS</t>
  </si>
  <si>
    <t>9/30/11 - 10/1/11</t>
  </si>
  <si>
    <t>Coffeyville, KS</t>
  </si>
  <si>
    <t>Parsons, KS</t>
  </si>
  <si>
    <t>Junction City, KS</t>
  </si>
  <si>
    <t>10/1/11 - 10/2/11</t>
  </si>
  <si>
    <t>Hanston, KS</t>
  </si>
  <si>
    <t>Elk Plaza</t>
  </si>
  <si>
    <t xml:space="preserve">OZtoberFest </t>
  </si>
  <si>
    <t>Wamego, KS</t>
  </si>
  <si>
    <t>10/7/11 - 10/8/11</t>
  </si>
  <si>
    <t>De Soto, KS</t>
  </si>
  <si>
    <t>10/8/11 - 10/9/11</t>
  </si>
  <si>
    <t>Williamsburg, KS</t>
  </si>
  <si>
    <t>Blues Masters at the Crossroads</t>
  </si>
  <si>
    <t>10/21/11 - 10/22/11</t>
  </si>
  <si>
    <t>Salina, KS</t>
  </si>
  <si>
    <t>Kiowa, KS</t>
  </si>
  <si>
    <t>6/15/12 - 6/16/12</t>
  </si>
  <si>
    <t>6/16/12 - 6/17/12</t>
  </si>
  <si>
    <t>Atchison, KS</t>
  </si>
  <si>
    <t>6/22/12 - 6/23/12</t>
  </si>
  <si>
    <t>St. John's Mexican Fiesta</t>
  </si>
  <si>
    <t>7/13/12 - 7/14/12</t>
  </si>
  <si>
    <t>Kanopolis, KS</t>
  </si>
  <si>
    <t>8/24/12 - 8/25/12</t>
  </si>
  <si>
    <t>Paola, KS</t>
  </si>
  <si>
    <t>19th St. &amp; Silver St.</t>
  </si>
  <si>
    <t>9/3/12 - 9/4/12</t>
  </si>
  <si>
    <t>9/6/12 - 9/7/12</t>
  </si>
  <si>
    <t>Poyntz Ave.</t>
  </si>
  <si>
    <t>9/7/12 - 9/8/12</t>
  </si>
  <si>
    <t>Chanute, KS</t>
  </si>
  <si>
    <t>Buffalo Bill Days</t>
  </si>
  <si>
    <t>Leavenworth, KS</t>
  </si>
  <si>
    <t>9/15/12 - 9/16/12</t>
  </si>
  <si>
    <t>9/22/12 - 9/23/12</t>
  </si>
  <si>
    <t>McPherson, KS</t>
  </si>
  <si>
    <t>Labette</t>
  </si>
  <si>
    <t>Geary</t>
  </si>
  <si>
    <t>Hodgeman</t>
  </si>
  <si>
    <t>Saline</t>
  </si>
  <si>
    <t>Miami</t>
  </si>
  <si>
    <t>Neosho</t>
  </si>
  <si>
    <t>Stevens County Fair</t>
  </si>
  <si>
    <t>Last week of July - First week of Aug</t>
  </si>
  <si>
    <t>Stevens</t>
  </si>
  <si>
    <t>Survey</t>
  </si>
  <si>
    <t>Hugoton, KS</t>
  </si>
  <si>
    <t>Nemaha County Fair</t>
  </si>
  <si>
    <t>Nemaha</t>
  </si>
  <si>
    <t>Sabetha Rodeo</t>
  </si>
  <si>
    <t>July</t>
  </si>
  <si>
    <t>Seneca, KS</t>
  </si>
  <si>
    <t>Scott</t>
  </si>
  <si>
    <t>Cloud County Fair</t>
  </si>
  <si>
    <t>Frontier Western Days</t>
  </si>
  <si>
    <t>Praire Port Festival</t>
  </si>
  <si>
    <t>Jackson County Fair</t>
  </si>
  <si>
    <t>Jackson</t>
  </si>
  <si>
    <t>Chingawasa Days</t>
  </si>
  <si>
    <t>June</t>
  </si>
  <si>
    <t>Peabody, KS</t>
  </si>
  <si>
    <t>Labor Day Festival</t>
  </si>
  <si>
    <t>Florence, KS</t>
  </si>
  <si>
    <t xml:space="preserve">Lincolnville Fall Festival </t>
  </si>
  <si>
    <t>1st week of October</t>
  </si>
  <si>
    <t>Lincolnville, KS</t>
  </si>
  <si>
    <t>Marion County Fair</t>
  </si>
  <si>
    <t>Finney County Fair</t>
  </si>
  <si>
    <t>Last week of July</t>
  </si>
  <si>
    <t>Last week July</t>
  </si>
  <si>
    <t>Tubleweed Festival</t>
  </si>
  <si>
    <t>August</t>
  </si>
  <si>
    <t>Doniphan</t>
  </si>
  <si>
    <t>Wathena Fall Fesitval</t>
  </si>
  <si>
    <t>3rd week of June</t>
  </si>
  <si>
    <t>Pottawatomie County Fair</t>
  </si>
  <si>
    <t>1st week of August</t>
  </si>
  <si>
    <t>1st week of July</t>
  </si>
  <si>
    <t xml:space="preserve">Tulip Festival </t>
  </si>
  <si>
    <t>3rd weekend in April</t>
  </si>
  <si>
    <t>Montgomery County Fair</t>
  </si>
  <si>
    <t>1st weekend of June</t>
  </si>
  <si>
    <t>Old Settlers Reunion</t>
  </si>
  <si>
    <t>Last week of June</t>
  </si>
  <si>
    <t>Ness</t>
  </si>
  <si>
    <t>Allen County Fair</t>
  </si>
  <si>
    <t>Allen</t>
  </si>
  <si>
    <t>Lyon County Fair</t>
  </si>
  <si>
    <t>Cinco de Mayo</t>
  </si>
  <si>
    <t>Winter Celebration</t>
  </si>
  <si>
    <t>5-state Free Fair</t>
  </si>
  <si>
    <t>Seward County Fairgrounds</t>
  </si>
  <si>
    <t>Barber County Peace Treaty</t>
  </si>
  <si>
    <t>Greeley County Fair</t>
  </si>
  <si>
    <t>Greeley</t>
  </si>
  <si>
    <t>Kingman County Fair</t>
  </si>
  <si>
    <t>Graham</t>
  </si>
  <si>
    <t>Graham County Fair</t>
  </si>
  <si>
    <t>Graham County Fairgrounds</t>
  </si>
  <si>
    <t>&gt;1000</t>
  </si>
  <si>
    <t>Flatlanders Festival</t>
  </si>
  <si>
    <t>Sherman</t>
  </si>
  <si>
    <t>September</t>
  </si>
  <si>
    <t>Sherman County Fair</t>
  </si>
  <si>
    <t>Sherman County Fairgrounds</t>
  </si>
  <si>
    <t>KanRocksUs</t>
  </si>
  <si>
    <t>Wyandotte</t>
  </si>
  <si>
    <t>Wyandotte County Fair</t>
  </si>
  <si>
    <t>Kansas City Renaissance Festival</t>
  </si>
  <si>
    <t>Kansas Speedway</t>
  </si>
  <si>
    <t>Kansas City, KS</t>
  </si>
  <si>
    <t>Wyandotte County Fairgrounds</t>
  </si>
  <si>
    <t>Coffey County Fair</t>
  </si>
  <si>
    <t>Coffey</t>
  </si>
  <si>
    <t>Ohio Days</t>
  </si>
  <si>
    <t>Across entire state of KS</t>
  </si>
  <si>
    <t>Amelia Airehardt Festival</t>
  </si>
  <si>
    <t>Weekend before Memorial Day</t>
  </si>
  <si>
    <t>Downtown Atwood</t>
  </si>
  <si>
    <t>Hamilton County Fair</t>
  </si>
  <si>
    <t>Hamilton</t>
  </si>
  <si>
    <t>Last full week in July</t>
  </si>
  <si>
    <t>Pratt County Fair</t>
  </si>
  <si>
    <t>Pratt</t>
  </si>
  <si>
    <t>3rd week of July</t>
  </si>
  <si>
    <t>Bennington Rodeo</t>
  </si>
  <si>
    <t>Ottawa County Fair</t>
  </si>
  <si>
    <t>Threshing Bee</t>
  </si>
  <si>
    <t>Mankato City Park</t>
  </si>
  <si>
    <t>Jewell</t>
  </si>
  <si>
    <t>3rd wekend in July</t>
  </si>
  <si>
    <t>Mankato, KS</t>
  </si>
  <si>
    <t>Jewell Iona Country Music Festival</t>
  </si>
  <si>
    <t>3rd weekend in September</t>
  </si>
  <si>
    <t>Jewell City Park</t>
  </si>
  <si>
    <t>Jewell, KS</t>
  </si>
  <si>
    <t>4-H Fair</t>
  </si>
  <si>
    <t>Mankato Fairgrounds</t>
  </si>
  <si>
    <t>4th week of July</t>
  </si>
  <si>
    <t>2nd weekend in June</t>
  </si>
  <si>
    <t xml:space="preserve">Smokey Hill River Festival </t>
  </si>
  <si>
    <t>Memorial Day</t>
  </si>
  <si>
    <t>St. John Jubilee</t>
  </si>
  <si>
    <t>St. John, KS</t>
  </si>
  <si>
    <t>St. John City Square</t>
  </si>
  <si>
    <t>Buckner Fall Fest</t>
  </si>
  <si>
    <t>1st weekend in October</t>
  </si>
  <si>
    <t>Hodgeman County Fair</t>
  </si>
  <si>
    <t>Greenwood</t>
  </si>
  <si>
    <t>Field Trials</t>
  </si>
  <si>
    <t>Greenwood County Fair</t>
  </si>
  <si>
    <t>Late August</t>
  </si>
  <si>
    <t>Greenwood County Fairgrounds</t>
  </si>
  <si>
    <t>October - November</t>
  </si>
  <si>
    <t>4th of July Weekend</t>
  </si>
  <si>
    <t>Barbed Wire Festival</t>
  </si>
  <si>
    <t>1st weekend in May</t>
  </si>
  <si>
    <t>1st weekend in August</t>
  </si>
  <si>
    <t>Rush</t>
  </si>
  <si>
    <t>Rush County Fair</t>
  </si>
  <si>
    <t>Power of the Past</t>
  </si>
  <si>
    <t>2nd weekend in September</t>
  </si>
  <si>
    <t>Thomas County Fair</t>
  </si>
  <si>
    <t>Thomas</t>
  </si>
  <si>
    <t>End of July</t>
  </si>
  <si>
    <t>Blugrass Festival</t>
  </si>
  <si>
    <t>Lindsborg Hillingsfest</t>
  </si>
  <si>
    <t>October</t>
  </si>
  <si>
    <t>Edwards County 4-H Fair</t>
  </si>
  <si>
    <t>Edwards</t>
  </si>
  <si>
    <t>2nd weekend in October</t>
  </si>
  <si>
    <t>Linn</t>
  </si>
  <si>
    <t>Morton</t>
  </si>
  <si>
    <t>Morton County Fair</t>
  </si>
  <si>
    <t>Crawford County Fair</t>
  </si>
  <si>
    <t>Crawford</t>
  </si>
  <si>
    <t>3rd week in September</t>
  </si>
  <si>
    <t>4th weekend in October</t>
  </si>
  <si>
    <t>Arkalalah Festival</t>
  </si>
  <si>
    <t>Cowley County Fair</t>
  </si>
  <si>
    <t>Lane County Fair</t>
  </si>
  <si>
    <t>Lane</t>
  </si>
  <si>
    <t>Backyard Bash</t>
  </si>
  <si>
    <t>Downs Celebration</t>
  </si>
  <si>
    <t>Osborne County Fair</t>
  </si>
  <si>
    <t>Harper County Fair</t>
  </si>
  <si>
    <t>Attica Rodeo</t>
  </si>
  <si>
    <t>Anthony Balloon Fest</t>
  </si>
  <si>
    <t>9/30 - 10/1</t>
  </si>
  <si>
    <t>Public Park</t>
  </si>
  <si>
    <t>Last weekend in August</t>
  </si>
  <si>
    <t xml:space="preserve">Fall Festival </t>
  </si>
  <si>
    <t>Loiusburg Cider Mill</t>
  </si>
  <si>
    <t>Last weekend in Sept./ 1st weekend Oct.</t>
  </si>
  <si>
    <t>Mitchell County Fair</t>
  </si>
  <si>
    <t>Mitchell</t>
  </si>
  <si>
    <t>Coldwater, KS</t>
  </si>
  <si>
    <t>Comanche</t>
  </si>
  <si>
    <t>North Central Kansas Free Fair</t>
  </si>
  <si>
    <t>Last weekend of July</t>
  </si>
  <si>
    <t>Haskell County Fair</t>
  </si>
  <si>
    <t>Haskell</t>
  </si>
  <si>
    <t>Surey</t>
  </si>
  <si>
    <t>CornStock</t>
  </si>
  <si>
    <t>Washington County Fair</t>
  </si>
  <si>
    <t>Wabaunsee County Fair</t>
  </si>
  <si>
    <t>Wabaunsee</t>
  </si>
  <si>
    <t>Johnson County Fair</t>
  </si>
  <si>
    <t>Tri County Fair</t>
  </si>
  <si>
    <t>Dickinson</t>
  </si>
  <si>
    <t>Herington, KS</t>
  </si>
  <si>
    <t>Trego County Fair</t>
  </si>
  <si>
    <t>Trego</t>
  </si>
  <si>
    <t xml:space="preserve">Sumner County Fair </t>
  </si>
  <si>
    <t>Sumner</t>
  </si>
  <si>
    <t>Smith County Fair</t>
  </si>
  <si>
    <t>Smith</t>
  </si>
  <si>
    <t>Gray County Fair</t>
  </si>
  <si>
    <t>Gray</t>
  </si>
  <si>
    <t>Shawnee County Fair</t>
  </si>
  <si>
    <t>Geary County Fair</t>
  </si>
  <si>
    <t>Saline County Fair</t>
  </si>
  <si>
    <t>Reno County Fair</t>
  </si>
  <si>
    <t>Phillipsburg County Fair</t>
  </si>
  <si>
    <t>Osage</t>
  </si>
  <si>
    <t>Clay</t>
  </si>
  <si>
    <t>Ness County Fair</t>
  </si>
  <si>
    <t>Cherokee County Fair</t>
  </si>
  <si>
    <t>Chautauqua County Fair</t>
  </si>
  <si>
    <t>Chautauqua</t>
  </si>
  <si>
    <t>Meade County Fair</t>
  </si>
  <si>
    <t>Meade</t>
  </si>
  <si>
    <t>Abilene, KS</t>
  </si>
  <si>
    <t>Butler County Fair</t>
  </si>
  <si>
    <t>Marshall County Fair</t>
  </si>
  <si>
    <t>Marshall</t>
  </si>
  <si>
    <t>Bourbon County Fair</t>
  </si>
  <si>
    <t>Bourbon</t>
  </si>
  <si>
    <t>Barton County Fair</t>
  </si>
  <si>
    <t>Logan County Fair</t>
  </si>
  <si>
    <t>Linn County Fair</t>
  </si>
  <si>
    <t>Anderson County Fair</t>
  </si>
  <si>
    <t>Labetter County Fair</t>
  </si>
  <si>
    <t>Riverside Park</t>
  </si>
  <si>
    <t>Iola, KS</t>
  </si>
  <si>
    <t>Oswego, KS</t>
  </si>
  <si>
    <t>Labetter County Fairgrounds</t>
  </si>
  <si>
    <t>Garnett, KS</t>
  </si>
  <si>
    <t>Garnett Fairgrounds</t>
  </si>
  <si>
    <t>Effingham City Park</t>
  </si>
  <si>
    <t>Mound City, KS</t>
  </si>
  <si>
    <t>7/21/12 - 7/24/12</t>
  </si>
  <si>
    <t>Oakley, KS</t>
  </si>
  <si>
    <t>Logan County Fairgrounds</t>
  </si>
  <si>
    <t>Great Bend, KS</t>
  </si>
  <si>
    <t>Expo Complex</t>
  </si>
  <si>
    <t>Fort Scott, KS</t>
  </si>
  <si>
    <t>Hillsboro, KS</t>
  </si>
  <si>
    <t>Blue Rapids, KS</t>
  </si>
  <si>
    <t>Central Kansas Free Fair</t>
  </si>
  <si>
    <t>Abilene Fairgrounds</t>
  </si>
  <si>
    <t>Meade, KS</t>
  </si>
  <si>
    <t>Meade Fairgrounds</t>
  </si>
  <si>
    <t>Last week in July</t>
  </si>
  <si>
    <t>Beloit, KS</t>
  </si>
  <si>
    <t>Mitchell County Fairgrounds</t>
  </si>
  <si>
    <t>1st week in August</t>
  </si>
  <si>
    <t>Sedan, KS</t>
  </si>
  <si>
    <t>3rd week in July</t>
  </si>
  <si>
    <t>Elkhart, KS</t>
  </si>
  <si>
    <t>Morton County Fairgrounds</t>
  </si>
  <si>
    <t>Scammon, KS</t>
  </si>
  <si>
    <t>American Legion Fairgrounds</t>
  </si>
  <si>
    <t>2nd week in July</t>
  </si>
  <si>
    <t>Ness City, KS</t>
  </si>
  <si>
    <t>Clay County Free Fair</t>
  </si>
  <si>
    <t>Clay Center, KS</t>
  </si>
  <si>
    <t>Minneapolis, KS</t>
  </si>
  <si>
    <t>Minneapolis Fairgrounds</t>
  </si>
  <si>
    <t>Concordia, KS</t>
  </si>
  <si>
    <t>Concordia Fairgrounds</t>
  </si>
  <si>
    <t>Overbrook- Osage County Fair</t>
  </si>
  <si>
    <t>Overbrook, KS</t>
  </si>
  <si>
    <t>Overbrook Fairgrounds</t>
  </si>
  <si>
    <t>Phillipsburg, KS</t>
  </si>
  <si>
    <t>Phillipsburg Fairgrounds</t>
  </si>
  <si>
    <t>Winfiled Fairgrounds</t>
  </si>
  <si>
    <t>Onaga, KS</t>
  </si>
  <si>
    <t>Onaga Fairgrounds</t>
  </si>
  <si>
    <t>Pratt, KS</t>
  </si>
  <si>
    <t>Pratt Fairgrounds</t>
  </si>
  <si>
    <t>Reno County Fairgrounds</t>
  </si>
  <si>
    <t>Kinsley, KS</t>
  </si>
  <si>
    <t>LaCrosse, KS</t>
  </si>
  <si>
    <t>Russell County Free Fair</t>
  </si>
  <si>
    <t>Russell, KS</t>
  </si>
  <si>
    <t>Fairway Drive</t>
  </si>
  <si>
    <t>July 18-21, 2011</t>
  </si>
  <si>
    <t>Saline County Expo Center</t>
  </si>
  <si>
    <t>August 3-7, 2011</t>
  </si>
  <si>
    <t>Hill City, KS</t>
  </si>
  <si>
    <t>Scott County Free Fair</t>
  </si>
  <si>
    <t>Scott City, KS</t>
  </si>
  <si>
    <t>July 20-24, 2011</t>
  </si>
  <si>
    <t>Kansas Expocentre</t>
  </si>
  <si>
    <t>July 21-24, 2011</t>
  </si>
  <si>
    <t>Cimmaron, KS</t>
  </si>
  <si>
    <t>Smith Center, KS</t>
  </si>
  <si>
    <t>Smith County Fairgrounds</t>
  </si>
  <si>
    <t>Jetmore, KS</t>
  </si>
  <si>
    <t>July 15-19, 2011</t>
  </si>
  <si>
    <t>Caldwell, KS</t>
  </si>
  <si>
    <t>August 5-7, 2011</t>
  </si>
  <si>
    <t>Wakeeney, KS</t>
  </si>
  <si>
    <t>Hoyt, KS</t>
  </si>
  <si>
    <t>July 7-9, 2011</t>
  </si>
  <si>
    <t>Gardner, KS</t>
  </si>
  <si>
    <t>Johnson County Fairgrounds</t>
  </si>
  <si>
    <t>Alma, KS</t>
  </si>
  <si>
    <t>July 24-27, 2011</t>
  </si>
  <si>
    <t>Washington, KS</t>
  </si>
  <si>
    <t>Washington County Fairgrounds</t>
  </si>
  <si>
    <t>July 12-17, 2011</t>
  </si>
  <si>
    <t>Inter-State Fair</t>
  </si>
  <si>
    <t>Site</t>
  </si>
  <si>
    <t>Length</t>
  </si>
  <si>
    <t>Comments</t>
  </si>
  <si>
    <t>Near beginning of June</t>
  </si>
  <si>
    <t>October 21-29, 2011</t>
  </si>
  <si>
    <t>Volga German Oktoberfest/ FHSU Homecoming</t>
  </si>
  <si>
    <t>x-Multiple</t>
  </si>
  <si>
    <t>August 6-13, 2011</t>
  </si>
  <si>
    <t>Coffeyville Fairgrounds</t>
  </si>
  <si>
    <t>Columus Day &amp; 300 FITASC Classic</t>
  </si>
  <si>
    <t>Fort Harker Days &amp; Frontier Living History</t>
  </si>
  <si>
    <t>9 predetermined cities; Varies year to year</t>
  </si>
  <si>
    <t>Pawnee County Fairgrounds</t>
  </si>
  <si>
    <t>September 23-25, 2011</t>
  </si>
  <si>
    <t>July 23-30, 2011</t>
  </si>
  <si>
    <t>July 15-16, 2011</t>
  </si>
  <si>
    <t>Burlington, KS</t>
  </si>
  <si>
    <t>&gt;1,000</t>
  </si>
  <si>
    <t>September 24-25, 2011</t>
  </si>
  <si>
    <t>Medicine Lodge Pageant Arena</t>
  </si>
  <si>
    <t>April 22-23, 2012</t>
  </si>
  <si>
    <t>Sept. 29th- Oct. 1st, 2011</t>
  </si>
  <si>
    <t>July 6-10, 2011</t>
  </si>
  <si>
    <t>After Harvest Festival</t>
  </si>
  <si>
    <t>Ellinwood, KS</t>
  </si>
  <si>
    <t>July 24-30, 2011</t>
  </si>
  <si>
    <t>Bourbon County Fairgrounds</t>
  </si>
  <si>
    <t>July 30- August 4th, 2011</t>
  </si>
  <si>
    <t>August 4-7, 2011</t>
  </si>
  <si>
    <t>Butler County Fairgrounds</t>
  </si>
  <si>
    <t>Downtown Augusta &amp; Augusta High School</t>
  </si>
  <si>
    <t>July 23-25, 2011</t>
  </si>
  <si>
    <t>September 22-24, 2011</t>
  </si>
  <si>
    <t>&gt;20,000</t>
  </si>
  <si>
    <t>Great Bend Renaissance Fair</t>
  </si>
  <si>
    <t>June 11-12, 2011</t>
  </si>
  <si>
    <t>Redeo Grounds</t>
  </si>
  <si>
    <t>Industrial Park</t>
  </si>
  <si>
    <t>July 5-10, 2011</t>
  </si>
  <si>
    <t>Clay Center Fairgrounds</t>
  </si>
  <si>
    <t>July 26-30, 2011</t>
  </si>
  <si>
    <t>Kelley Park</t>
  </si>
  <si>
    <t>2nd weekend in July</t>
  </si>
  <si>
    <t>Waverly, KS</t>
  </si>
  <si>
    <t>Comanche 4-H Fair &amp; Rodeo</t>
  </si>
  <si>
    <t>July 12-21, 2011</t>
  </si>
  <si>
    <t>Comanche County Fairgrounds</t>
  </si>
  <si>
    <t>Downtown Arkansas City, KS</t>
  </si>
  <si>
    <t>Winfield Country Round-up</t>
  </si>
  <si>
    <t>Summer</t>
  </si>
  <si>
    <t>August 2nd-6th, 2012</t>
  </si>
  <si>
    <t>August 3rd-6th, 2011</t>
  </si>
  <si>
    <t>Crawford County Fairgrounds</t>
  </si>
  <si>
    <t>Girard, KS</t>
  </si>
  <si>
    <t>White Cloud Flea Market</t>
  </si>
  <si>
    <t>White Cloud, KS</t>
  </si>
  <si>
    <t>Labor Day weekend</t>
  </si>
  <si>
    <t>Wathena, KS</t>
  </si>
  <si>
    <t>Downtown Wathena</t>
  </si>
  <si>
    <t>September 2nd- 4th, 2011</t>
  </si>
  <si>
    <t>Edwards County Fairgrounds</t>
  </si>
  <si>
    <t>July 9th- 16th, 2011</t>
  </si>
  <si>
    <t>Downtown Hays, KS</t>
  </si>
  <si>
    <t>May 30th- June 10th, 2012</t>
  </si>
  <si>
    <t>12 days</t>
  </si>
  <si>
    <t>4th weekend of August</t>
  </si>
  <si>
    <t>Lee Richardson Zoo</t>
  </si>
  <si>
    <t>July 29th- August 7th, 2011</t>
  </si>
  <si>
    <t>Ol' Marias River Run</t>
  </si>
  <si>
    <t>7/18/12 - 7/22/12</t>
  </si>
  <si>
    <t>Multiple</t>
  </si>
  <si>
    <t>Geary County Fairgrounds</t>
  </si>
  <si>
    <t>Just off Main St.</t>
  </si>
  <si>
    <t>Fall</t>
  </si>
  <si>
    <t>Spring</t>
  </si>
  <si>
    <t>Winter</t>
  </si>
  <si>
    <t>Season</t>
  </si>
  <si>
    <t>4th of July weekend</t>
  </si>
  <si>
    <t>Gray County Fairgrounds</t>
  </si>
  <si>
    <t>Tribune, KS</t>
  </si>
  <si>
    <t>Greeley County Fairgrounds</t>
  </si>
  <si>
    <t>Harper County Fairgrounds</t>
  </si>
  <si>
    <t>Attica, KS</t>
  </si>
  <si>
    <t xml:space="preserve">May </t>
  </si>
  <si>
    <t>Sublette, KS</t>
  </si>
  <si>
    <t>Kingman, KS</t>
  </si>
  <si>
    <t xml:space="preserve">July </t>
  </si>
  <si>
    <t>Threshing Days</t>
  </si>
  <si>
    <t>Goessel, KS</t>
  </si>
  <si>
    <t>June 1-9, 2012</t>
  </si>
  <si>
    <t>Bonner Springs, KS</t>
  </si>
  <si>
    <t>Sept. 3rd - Oct. 16th</t>
  </si>
  <si>
    <t>20 days</t>
  </si>
  <si>
    <t>&gt;800</t>
  </si>
  <si>
    <t>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</si>
</sst>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14" fontId="2" fillId="0" borderId="5" xfId="0" applyNumberFormat="1" applyFont="1" applyBorder="1" applyAlignment="1">
      <alignment wrapText="1"/>
    </xf>
    <xf numFmtId="0" fontId="1" fillId="0" borderId="5" xfId="0" applyNumberFormat="1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5" xfId="0" applyFont="1" applyFill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0" fontId="2" fillId="0" borderId="10" xfId="0" applyFont="1" applyBorder="1" applyAlignment="1">
      <alignment wrapText="1"/>
    </xf>
    <xf numFmtId="0" fontId="1" fillId="0" borderId="11" xfId="0" applyFont="1" applyBorder="1" applyAlignment="1">
      <alignment horizontal="center"/>
    </xf>
    <xf numFmtId="14" fontId="2" fillId="0" borderId="14" xfId="0" applyNumberFormat="1" applyFont="1" applyBorder="1" applyAlignment="1">
      <alignment wrapText="1"/>
    </xf>
    <xf numFmtId="0" fontId="2" fillId="0" borderId="14" xfId="0" applyFont="1" applyBorder="1" applyAlignment="1">
      <alignment wrapText="1"/>
    </xf>
    <xf numFmtId="14" fontId="2" fillId="0" borderId="10" xfId="0" applyNumberFormat="1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14" fontId="2" fillId="0" borderId="8" xfId="0" applyNumberFormat="1" applyFont="1" applyBorder="1" applyAlignment="1">
      <alignment wrapText="1"/>
    </xf>
    <xf numFmtId="0" fontId="2" fillId="0" borderId="13" xfId="0" applyFont="1" applyBorder="1" applyAlignment="1">
      <alignment wrapText="1"/>
    </xf>
    <xf numFmtId="14" fontId="2" fillId="0" borderId="5" xfId="0" applyNumberFormat="1" applyFont="1" applyFill="1" applyBorder="1" applyAlignment="1">
      <alignment wrapText="1"/>
    </xf>
    <xf numFmtId="0" fontId="1" fillId="0" borderId="15" xfId="0" applyFont="1" applyBorder="1" applyAlignment="1">
      <alignment horizontal="center"/>
    </xf>
    <xf numFmtId="0" fontId="2" fillId="0" borderId="12" xfId="0" applyFont="1" applyBorder="1" applyAlignment="1">
      <alignment wrapText="1"/>
    </xf>
    <xf numFmtId="0" fontId="1" fillId="0" borderId="10" xfId="0" applyNumberFormat="1" applyFont="1" applyBorder="1" applyAlignment="1">
      <alignment horizontal="center" wrapText="1"/>
    </xf>
    <xf numFmtId="0" fontId="2" fillId="0" borderId="10" xfId="0" applyFont="1" applyFill="1" applyBorder="1" applyAlignment="1">
      <alignment wrapText="1"/>
    </xf>
    <xf numFmtId="0" fontId="1" fillId="0" borderId="14" xfId="0" applyNumberFormat="1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0" fontId="0" fillId="0" borderId="17" xfId="0" applyBorder="1"/>
    <xf numFmtId="0" fontId="1" fillId="0" borderId="5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wrapText="1"/>
    </xf>
    <xf numFmtId="0" fontId="2" fillId="0" borderId="14" xfId="0" applyFont="1" applyFill="1" applyBorder="1" applyAlignment="1">
      <alignment wrapText="1"/>
    </xf>
    <xf numFmtId="0" fontId="0" fillId="0" borderId="0" xfId="0" applyFill="1"/>
    <xf numFmtId="14" fontId="2" fillId="0" borderId="18" xfId="0" applyNumberFormat="1" applyFont="1" applyBorder="1" applyAlignment="1">
      <alignment wrapText="1"/>
    </xf>
    <xf numFmtId="0" fontId="1" fillId="0" borderId="18" xfId="0" applyNumberFormat="1" applyFont="1" applyBorder="1" applyAlignment="1">
      <alignment horizontal="center" wrapText="1"/>
    </xf>
    <xf numFmtId="0" fontId="2" fillId="0" borderId="18" xfId="0" applyFont="1" applyFill="1" applyBorder="1" applyAlignment="1">
      <alignment wrapText="1"/>
    </xf>
    <xf numFmtId="0" fontId="2" fillId="0" borderId="18" xfId="0" applyFont="1" applyBorder="1" applyAlignment="1">
      <alignment wrapText="1"/>
    </xf>
    <xf numFmtId="0" fontId="0" fillId="0" borderId="19" xfId="0" applyBorder="1"/>
    <xf numFmtId="14" fontId="2" fillId="0" borderId="7" xfId="0" applyNumberFormat="1" applyFont="1" applyBorder="1" applyAlignment="1">
      <alignment wrapText="1"/>
    </xf>
    <xf numFmtId="0" fontId="1" fillId="0" borderId="7" xfId="0" applyNumberFormat="1" applyFont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0" borderId="0" xfId="0" applyFont="1"/>
    <xf numFmtId="0" fontId="5" fillId="0" borderId="15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21" xfId="0" applyFont="1" applyFill="1" applyBorder="1" applyAlignment="1">
      <alignment horizontal="left"/>
    </xf>
    <xf numFmtId="3" fontId="5" fillId="0" borderId="15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9" xfId="0" applyFont="1" applyBorder="1"/>
    <xf numFmtId="0" fontId="5" fillId="0" borderId="22" xfId="0" applyFont="1" applyBorder="1"/>
    <xf numFmtId="0" fontId="5" fillId="0" borderId="2" xfId="0" applyFont="1" applyBorder="1" applyAlignment="1">
      <alignment horizontal="center"/>
    </xf>
    <xf numFmtId="0" fontId="5" fillId="2" borderId="1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/>
    <xf numFmtId="14" fontId="6" fillId="2" borderId="21" xfId="0" applyNumberFormat="1" applyFont="1" applyFill="1" applyBorder="1" applyAlignment="1">
      <alignment horizontal="left" wrapText="1"/>
    </xf>
    <xf numFmtId="0" fontId="6" fillId="0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21" xfId="0" applyFont="1" applyBorder="1" applyAlignment="1">
      <alignment horizontal="center" wrapText="1"/>
    </xf>
    <xf numFmtId="14" fontId="6" fillId="0" borderId="6" xfId="0" applyNumberFormat="1" applyFont="1" applyBorder="1" applyAlignment="1">
      <alignment horizontal="center" wrapText="1"/>
    </xf>
    <xf numFmtId="14" fontId="6" fillId="2" borderId="6" xfId="0" applyNumberFormat="1" applyFont="1" applyFill="1" applyBorder="1" applyAlignment="1">
      <alignment horizontal="left" wrapText="1"/>
    </xf>
    <xf numFmtId="0" fontId="6" fillId="0" borderId="25" xfId="0" applyFont="1" applyBorder="1" applyAlignment="1">
      <alignment horizontal="center" wrapText="1"/>
    </xf>
    <xf numFmtId="0" fontId="6" fillId="0" borderId="6" xfId="0" applyNumberFormat="1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14" fontId="6" fillId="0" borderId="15" xfId="0" applyNumberFormat="1" applyFont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0" borderId="15" xfId="0" applyFont="1" applyBorder="1" applyAlignment="1">
      <alignment horizontal="center"/>
    </xf>
    <xf numFmtId="0" fontId="5" fillId="2" borderId="21" xfId="0" applyFont="1" applyFill="1" applyBorder="1"/>
    <xf numFmtId="0" fontId="5" fillId="0" borderId="0" xfId="0" applyFont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14" fontId="6" fillId="0" borderId="21" xfId="0" applyNumberFormat="1" applyFont="1" applyBorder="1" applyAlignment="1">
      <alignment horizontal="center" wrapText="1"/>
    </xf>
    <xf numFmtId="0" fontId="6" fillId="0" borderId="15" xfId="0" applyNumberFormat="1" applyFont="1" applyBorder="1" applyAlignment="1">
      <alignment horizontal="center" wrapText="1"/>
    </xf>
    <xf numFmtId="3" fontId="5" fillId="0" borderId="6" xfId="0" applyNumberFormat="1" applyFont="1" applyBorder="1" applyAlignment="1">
      <alignment horizontal="center"/>
    </xf>
    <xf numFmtId="3" fontId="6" fillId="0" borderId="15" xfId="0" applyNumberFormat="1" applyFont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5" fillId="0" borderId="24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/>
    <xf numFmtId="0" fontId="6" fillId="0" borderId="26" xfId="0" applyFont="1" applyBorder="1" applyAlignment="1">
      <alignment wrapText="1"/>
    </xf>
    <xf numFmtId="0" fontId="5" fillId="0" borderId="23" xfId="0" applyFont="1" applyBorder="1" applyAlignment="1">
      <alignment horizontal="center"/>
    </xf>
    <xf numFmtId="0" fontId="6" fillId="0" borderId="21" xfId="0" applyNumberFormat="1" applyFont="1" applyBorder="1" applyAlignment="1">
      <alignment horizontal="center" wrapText="1"/>
    </xf>
    <xf numFmtId="3" fontId="6" fillId="0" borderId="6" xfId="0" applyNumberFormat="1" applyFont="1" applyBorder="1" applyAlignment="1">
      <alignment horizontal="center" wrapText="1"/>
    </xf>
    <xf numFmtId="0" fontId="5" fillId="2" borderId="21" xfId="0" applyFont="1" applyFill="1" applyBorder="1" applyAlignment="1"/>
    <xf numFmtId="3" fontId="5" fillId="0" borderId="4" xfId="0" applyNumberFormat="1" applyFont="1" applyBorder="1" applyAlignment="1">
      <alignment horizontal="center"/>
    </xf>
    <xf numFmtId="0" fontId="5" fillId="2" borderId="2" xfId="0" applyFont="1" applyFill="1" applyBorder="1"/>
    <xf numFmtId="0" fontId="5" fillId="2" borderId="18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center"/>
    </xf>
    <xf numFmtId="3" fontId="5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3" fontId="6" fillId="0" borderId="21" xfId="0" applyNumberFormat="1" applyFont="1" applyBorder="1" applyAlignment="1">
      <alignment horizontal="center" wrapText="1"/>
    </xf>
    <xf numFmtId="16" fontId="6" fillId="0" borderId="15" xfId="0" applyNumberFormat="1" applyFont="1" applyFill="1" applyBorder="1" applyAlignment="1">
      <alignment horizontal="center" wrapText="1"/>
    </xf>
    <xf numFmtId="14" fontId="6" fillId="0" borderId="6" xfId="0" applyNumberFormat="1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20" xfId="0" applyFont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9"/>
  <sheetViews>
    <sheetView showGridLines="0" tabSelected="1" zoomScale="85" zoomScaleNormal="85" workbookViewId="0">
      <selection activeCell="A2" sqref="A2"/>
    </sheetView>
  </sheetViews>
  <sheetFormatPr defaultRowHeight="14.25" x14ac:dyDescent="0.2"/>
  <cols>
    <col min="1" max="1" width="42.28515625" style="43" customWidth="1"/>
    <col min="2" max="2" width="13.7109375" style="57" bestFit="1" customWidth="1"/>
    <col min="3" max="3" width="18.85546875" style="57" customWidth="1"/>
    <col min="4" max="4" width="32" style="57" customWidth="1"/>
    <col min="5" max="5" width="24.42578125" style="57" customWidth="1"/>
    <col min="6" max="6" width="32.85546875" style="57" customWidth="1"/>
    <col min="7" max="7" width="41.85546875" style="57" bestFit="1" customWidth="1"/>
    <col min="8" max="8" width="17.42578125" style="57" bestFit="1" customWidth="1"/>
    <col min="9" max="9" width="18" style="55" bestFit="1" customWidth="1"/>
    <col min="10" max="10" width="15.7109375" style="43" customWidth="1"/>
    <col min="11" max="16384" width="9.140625" style="43"/>
  </cols>
  <sheetData>
    <row r="1" spans="1:10" ht="14.1" customHeight="1" x14ac:dyDescent="0.25">
      <c r="A1" s="39" t="s">
        <v>20</v>
      </c>
      <c r="B1" s="40" t="s">
        <v>22</v>
      </c>
      <c r="C1" s="41" t="s">
        <v>4526</v>
      </c>
      <c r="D1" s="40" t="s">
        <v>1</v>
      </c>
      <c r="E1" s="40" t="s">
        <v>4433</v>
      </c>
      <c r="F1" s="41" t="s">
        <v>45</v>
      </c>
      <c r="G1" s="42" t="s">
        <v>4432</v>
      </c>
      <c r="H1" s="42" t="s">
        <v>36</v>
      </c>
      <c r="I1" s="42" t="s">
        <v>4508</v>
      </c>
      <c r="J1" s="42" t="s">
        <v>4434</v>
      </c>
    </row>
    <row r="2" spans="1:10" ht="14.1" customHeight="1" x14ac:dyDescent="0.2">
      <c r="A2" s="74" t="s">
        <v>4193</v>
      </c>
      <c r="B2" s="45" t="s">
        <v>4194</v>
      </c>
      <c r="C2" s="49">
        <v>4500</v>
      </c>
      <c r="D2" s="45" t="s">
        <v>4184</v>
      </c>
      <c r="E2" s="46" t="s">
        <v>4017</v>
      </c>
      <c r="F2" s="46" t="s">
        <v>4352</v>
      </c>
      <c r="G2" s="46" t="s">
        <v>4351</v>
      </c>
      <c r="H2" s="46" t="s">
        <v>4153</v>
      </c>
      <c r="I2" s="47" t="s">
        <v>4481</v>
      </c>
      <c r="J2" s="75"/>
    </row>
    <row r="3" spans="1:10" ht="14.1" customHeight="1" x14ac:dyDescent="0.2">
      <c r="A3" s="74" t="s">
        <v>4349</v>
      </c>
      <c r="B3" s="50" t="s">
        <v>4071</v>
      </c>
      <c r="C3" s="45" t="s">
        <v>13</v>
      </c>
      <c r="D3" s="50" t="s">
        <v>4446</v>
      </c>
      <c r="E3" s="47" t="s">
        <v>4017</v>
      </c>
      <c r="F3" s="46" t="s">
        <v>4355</v>
      </c>
      <c r="G3" s="52" t="s">
        <v>4356</v>
      </c>
      <c r="H3" s="46" t="s">
        <v>4021</v>
      </c>
      <c r="I3" s="47" t="s">
        <v>4481</v>
      </c>
      <c r="J3" s="75"/>
    </row>
    <row r="4" spans="1:10" ht="14.1" customHeight="1" x14ac:dyDescent="0.2">
      <c r="A4" s="60" t="s">
        <v>4065</v>
      </c>
      <c r="B4" s="80" t="s">
        <v>4071</v>
      </c>
      <c r="C4" s="81" t="s">
        <v>13</v>
      </c>
      <c r="D4" s="84" t="s">
        <v>4453</v>
      </c>
      <c r="E4" s="84" t="s">
        <v>4069</v>
      </c>
      <c r="F4" s="72" t="s">
        <v>4070</v>
      </c>
      <c r="G4" s="107" t="s">
        <v>3629</v>
      </c>
      <c r="H4" s="73" t="s">
        <v>4001</v>
      </c>
      <c r="I4" s="72" t="s">
        <v>4505</v>
      </c>
      <c r="J4" s="75"/>
    </row>
    <row r="5" spans="1:10" s="53" customFormat="1" ht="14.1" customHeight="1" x14ac:dyDescent="0.2">
      <c r="A5" s="56" t="s">
        <v>4311</v>
      </c>
      <c r="B5" s="47" t="s">
        <v>4071</v>
      </c>
      <c r="C5" s="94" t="s">
        <v>13</v>
      </c>
      <c r="D5" s="46" t="s">
        <v>4464</v>
      </c>
      <c r="E5" s="46" t="s">
        <v>4069</v>
      </c>
      <c r="F5" s="46" t="s">
        <v>4355</v>
      </c>
      <c r="G5" s="52" t="s">
        <v>3968</v>
      </c>
      <c r="H5" s="46" t="s">
        <v>4153</v>
      </c>
      <c r="I5" s="47" t="s">
        <v>4505</v>
      </c>
      <c r="J5" s="69"/>
    </row>
    <row r="6" spans="1:10" ht="14.1" customHeight="1" x14ac:dyDescent="0.2">
      <c r="A6" s="95" t="s">
        <v>4224</v>
      </c>
      <c r="B6" s="55" t="s">
        <v>210</v>
      </c>
      <c r="C6" s="99" t="s">
        <v>4449</v>
      </c>
      <c r="D6" s="55" t="s">
        <v>4447</v>
      </c>
      <c r="E6" s="47" t="s">
        <v>11</v>
      </c>
      <c r="F6" s="99" t="s">
        <v>4126</v>
      </c>
      <c r="G6" s="45" t="s">
        <v>4502</v>
      </c>
      <c r="H6" s="45" t="s">
        <v>4153</v>
      </c>
      <c r="I6" s="45" t="s">
        <v>4481</v>
      </c>
      <c r="J6" s="88"/>
    </row>
    <row r="7" spans="1:10" s="53" customFormat="1" ht="14.1" customHeight="1" x14ac:dyDescent="0.2">
      <c r="A7" s="60" t="s">
        <v>3797</v>
      </c>
      <c r="B7" s="80" t="s">
        <v>210</v>
      </c>
      <c r="C7" s="81" t="s">
        <v>13</v>
      </c>
      <c r="D7" s="71" t="s">
        <v>4047</v>
      </c>
      <c r="E7" s="104" t="s">
        <v>4005</v>
      </c>
      <c r="F7" s="72" t="s">
        <v>4048</v>
      </c>
      <c r="G7" s="106" t="s">
        <v>4357</v>
      </c>
      <c r="H7" s="108" t="s">
        <v>4001</v>
      </c>
      <c r="I7" s="111" t="s">
        <v>4481</v>
      </c>
      <c r="J7" s="75"/>
    </row>
    <row r="8" spans="1:10" s="54" customFormat="1" ht="14.1" customHeight="1" x14ac:dyDescent="0.2">
      <c r="A8" s="60" t="s">
        <v>3468</v>
      </c>
      <c r="B8" s="80" t="s">
        <v>210</v>
      </c>
      <c r="C8" s="81" t="s">
        <v>13</v>
      </c>
      <c r="D8" s="71" t="s">
        <v>4125</v>
      </c>
      <c r="E8" s="71" t="s">
        <v>11</v>
      </c>
      <c r="F8" s="72" t="s">
        <v>4126</v>
      </c>
      <c r="G8" s="72" t="s">
        <v>3471</v>
      </c>
      <c r="H8" s="73" t="s">
        <v>4001</v>
      </c>
      <c r="I8" s="64" t="s">
        <v>4481</v>
      </c>
      <c r="J8" s="88"/>
    </row>
    <row r="9" spans="1:10" s="54" customFormat="1" ht="14.1" customHeight="1" x14ac:dyDescent="0.2">
      <c r="A9" s="60" t="s">
        <v>4101</v>
      </c>
      <c r="B9" s="80" t="s">
        <v>35</v>
      </c>
      <c r="C9" s="83">
        <v>4000</v>
      </c>
      <c r="D9" s="71" t="s">
        <v>4359</v>
      </c>
      <c r="E9" s="71" t="s">
        <v>4006</v>
      </c>
      <c r="F9" s="72" t="s">
        <v>4102</v>
      </c>
      <c r="G9" s="72" t="s">
        <v>3709</v>
      </c>
      <c r="H9" s="73" t="s">
        <v>4001</v>
      </c>
      <c r="I9" s="64" t="s">
        <v>4481</v>
      </c>
      <c r="J9" s="69"/>
    </row>
    <row r="10" spans="1:10" s="54" customFormat="1" ht="14.1" customHeight="1" x14ac:dyDescent="0.2">
      <c r="A10" s="74" t="s">
        <v>4200</v>
      </c>
      <c r="B10" s="90" t="s">
        <v>35</v>
      </c>
      <c r="C10" s="82">
        <v>18000</v>
      </c>
      <c r="D10" s="78" t="s">
        <v>4445</v>
      </c>
      <c r="E10" s="78" t="s">
        <v>4069</v>
      </c>
      <c r="F10" s="78" t="s">
        <v>29</v>
      </c>
      <c r="G10" s="78" t="s">
        <v>4502</v>
      </c>
      <c r="H10" s="78" t="s">
        <v>4153</v>
      </c>
      <c r="I10" s="50" t="s">
        <v>4505</v>
      </c>
      <c r="J10" s="88"/>
    </row>
    <row r="11" spans="1:10" s="54" customFormat="1" ht="14.1" customHeight="1" x14ac:dyDescent="0.2">
      <c r="A11" s="60" t="s">
        <v>3101</v>
      </c>
      <c r="B11" s="80" t="s">
        <v>35</v>
      </c>
      <c r="C11" s="81" t="s">
        <v>13</v>
      </c>
      <c r="D11" s="102" t="s">
        <v>4452</v>
      </c>
      <c r="E11" s="71" t="s">
        <v>11</v>
      </c>
      <c r="F11" s="72" t="s">
        <v>4123</v>
      </c>
      <c r="G11" s="72" t="s">
        <v>4502</v>
      </c>
      <c r="H11" s="73" t="s">
        <v>4001</v>
      </c>
      <c r="I11" s="64" t="s">
        <v>4506</v>
      </c>
      <c r="J11" s="89"/>
    </row>
    <row r="12" spans="1:10" s="54" customFormat="1" ht="14.1" customHeight="1" x14ac:dyDescent="0.2">
      <c r="A12" s="48" t="s">
        <v>28</v>
      </c>
      <c r="B12" s="50" t="s">
        <v>35</v>
      </c>
      <c r="C12" s="45" t="s">
        <v>13</v>
      </c>
      <c r="D12" s="45" t="s">
        <v>4450</v>
      </c>
      <c r="E12" s="45" t="s">
        <v>11</v>
      </c>
      <c r="F12" s="45" t="s">
        <v>29</v>
      </c>
      <c r="G12" s="45" t="s">
        <v>4451</v>
      </c>
      <c r="H12" s="45" t="s">
        <v>4001</v>
      </c>
      <c r="I12" s="50" t="s">
        <v>4505</v>
      </c>
      <c r="J12" s="89"/>
    </row>
    <row r="13" spans="1:10" s="54" customFormat="1" ht="14.1" customHeight="1" x14ac:dyDescent="0.2">
      <c r="A13" s="60" t="s">
        <v>3881</v>
      </c>
      <c r="B13" s="70" t="s">
        <v>35</v>
      </c>
      <c r="C13" s="81" t="s">
        <v>13</v>
      </c>
      <c r="D13" s="71" t="s">
        <v>4134</v>
      </c>
      <c r="E13" s="84" t="s">
        <v>11</v>
      </c>
      <c r="F13" s="64" t="s">
        <v>4123</v>
      </c>
      <c r="G13" s="64" t="s">
        <v>4502</v>
      </c>
      <c r="H13" s="73" t="s">
        <v>4001</v>
      </c>
      <c r="I13" s="64" t="s">
        <v>4505</v>
      </c>
      <c r="J13" s="89"/>
    </row>
    <row r="14" spans="1:10" s="54" customFormat="1" ht="14.1" customHeight="1" x14ac:dyDescent="0.2">
      <c r="A14" s="60" t="s">
        <v>3858</v>
      </c>
      <c r="B14" s="70" t="s">
        <v>4066</v>
      </c>
      <c r="C14" s="83" t="s">
        <v>4465</v>
      </c>
      <c r="D14" s="71" t="s">
        <v>4063</v>
      </c>
      <c r="E14" s="71" t="s">
        <v>4006</v>
      </c>
      <c r="F14" s="72" t="s">
        <v>4064</v>
      </c>
      <c r="G14" s="72" t="s">
        <v>4502</v>
      </c>
      <c r="H14" s="73" t="s">
        <v>4001</v>
      </c>
      <c r="I14" s="64" t="s">
        <v>4481</v>
      </c>
      <c r="J14" s="75"/>
    </row>
    <row r="15" spans="1:10" s="54" customFormat="1" ht="14.1" customHeight="1" x14ac:dyDescent="0.2">
      <c r="A15" s="74" t="s">
        <v>4346</v>
      </c>
      <c r="B15" s="45" t="s">
        <v>4066</v>
      </c>
      <c r="C15" s="45" t="s">
        <v>13</v>
      </c>
      <c r="D15" s="45" t="s">
        <v>4454</v>
      </c>
      <c r="E15" s="45" t="s">
        <v>4005</v>
      </c>
      <c r="F15" s="45" t="s">
        <v>4362</v>
      </c>
      <c r="G15" s="45" t="s">
        <v>4363</v>
      </c>
      <c r="H15" s="45" t="s">
        <v>4021</v>
      </c>
      <c r="I15" s="50" t="s">
        <v>4481</v>
      </c>
      <c r="J15" s="75"/>
    </row>
    <row r="16" spans="1:10" s="54" customFormat="1" ht="14.1" customHeight="1" x14ac:dyDescent="0.2">
      <c r="A16" s="74" t="s">
        <v>4455</v>
      </c>
      <c r="B16" s="45" t="s">
        <v>4066</v>
      </c>
      <c r="C16" s="45" t="s">
        <v>13</v>
      </c>
      <c r="D16" s="45" t="s">
        <v>4376</v>
      </c>
      <c r="E16" s="45" t="s">
        <v>4069</v>
      </c>
      <c r="F16" s="45" t="s">
        <v>4456</v>
      </c>
      <c r="G16" s="45" t="s">
        <v>4502</v>
      </c>
      <c r="H16" s="45" t="s">
        <v>4021</v>
      </c>
      <c r="I16" s="50" t="s">
        <v>4481</v>
      </c>
      <c r="J16" s="89"/>
    </row>
    <row r="17" spans="1:10" s="54" customFormat="1" ht="14.1" customHeight="1" x14ac:dyDescent="0.2">
      <c r="A17" s="60" t="s">
        <v>4466</v>
      </c>
      <c r="B17" s="70" t="s">
        <v>4066</v>
      </c>
      <c r="C17" s="83" t="s">
        <v>13</v>
      </c>
      <c r="D17" s="71" t="s">
        <v>4467</v>
      </c>
      <c r="E17" s="71" t="s">
        <v>11</v>
      </c>
      <c r="F17" s="72" t="s">
        <v>4362</v>
      </c>
      <c r="G17" s="72" t="s">
        <v>4363</v>
      </c>
      <c r="H17" s="86" t="s">
        <v>4021</v>
      </c>
      <c r="I17" s="64" t="s">
        <v>4481</v>
      </c>
      <c r="J17" s="88"/>
    </row>
    <row r="18" spans="1:10" s="54" customFormat="1" ht="14.1" customHeight="1" x14ac:dyDescent="0.2">
      <c r="A18" s="74" t="s">
        <v>4344</v>
      </c>
      <c r="B18" s="78" t="s">
        <v>4345</v>
      </c>
      <c r="C18" s="78" t="s">
        <v>13</v>
      </c>
      <c r="D18" s="78" t="s">
        <v>4457</v>
      </c>
      <c r="E18" s="78" t="s">
        <v>4028</v>
      </c>
      <c r="F18" s="78" t="s">
        <v>4364</v>
      </c>
      <c r="G18" s="85" t="s">
        <v>4458</v>
      </c>
      <c r="H18" s="87" t="s">
        <v>4021</v>
      </c>
      <c r="I18" s="50" t="s">
        <v>4481</v>
      </c>
      <c r="J18" s="88"/>
    </row>
    <row r="19" spans="1:10" s="54" customFormat="1" ht="14.1" customHeight="1" x14ac:dyDescent="0.2">
      <c r="A19" s="48" t="s">
        <v>1694</v>
      </c>
      <c r="B19" s="65" t="s">
        <v>4014</v>
      </c>
      <c r="C19" s="68" t="s">
        <v>13</v>
      </c>
      <c r="D19" s="61" t="s">
        <v>4013</v>
      </c>
      <c r="E19" s="61" t="s">
        <v>4004</v>
      </c>
      <c r="F19" s="62" t="s">
        <v>4012</v>
      </c>
      <c r="G19" s="62" t="s">
        <v>4502</v>
      </c>
      <c r="H19" s="109" t="s">
        <v>4001</v>
      </c>
      <c r="I19" s="64" t="s">
        <v>4505</v>
      </c>
      <c r="J19" s="88"/>
    </row>
    <row r="20" spans="1:10" s="54" customFormat="1" ht="14.1" customHeight="1" x14ac:dyDescent="0.2">
      <c r="A20" s="76" t="s">
        <v>4341</v>
      </c>
      <c r="B20" s="78" t="s">
        <v>4014</v>
      </c>
      <c r="C20" s="78" t="s">
        <v>13</v>
      </c>
      <c r="D20" s="78" t="s">
        <v>4459</v>
      </c>
      <c r="E20" s="78" t="s">
        <v>4034</v>
      </c>
      <c r="F20" s="78" t="s">
        <v>4012</v>
      </c>
      <c r="G20" s="78" t="s">
        <v>4461</v>
      </c>
      <c r="H20" s="78" t="s">
        <v>4021</v>
      </c>
      <c r="I20" s="87" t="s">
        <v>4481</v>
      </c>
      <c r="J20" s="89"/>
    </row>
    <row r="21" spans="1:10" s="54" customFormat="1" ht="14.1" customHeight="1" x14ac:dyDescent="0.2">
      <c r="A21" s="66" t="s">
        <v>404</v>
      </c>
      <c r="B21" s="65" t="s">
        <v>4014</v>
      </c>
      <c r="C21" s="68" t="s">
        <v>13</v>
      </c>
      <c r="D21" s="61" t="s">
        <v>4032</v>
      </c>
      <c r="E21" s="61" t="s">
        <v>4034</v>
      </c>
      <c r="F21" s="62" t="s">
        <v>4033</v>
      </c>
      <c r="G21" s="62" t="s">
        <v>4462</v>
      </c>
      <c r="H21" s="63" t="s">
        <v>4001</v>
      </c>
      <c r="I21" s="67" t="s">
        <v>4505</v>
      </c>
      <c r="J21" s="75"/>
    </row>
    <row r="22" spans="1:10" s="54" customFormat="1" ht="14.1" customHeight="1" x14ac:dyDescent="0.2">
      <c r="A22" s="76" t="s">
        <v>4162</v>
      </c>
      <c r="B22" s="78" t="s">
        <v>4014</v>
      </c>
      <c r="C22" s="78" t="s">
        <v>13</v>
      </c>
      <c r="D22" s="78" t="s">
        <v>4460</v>
      </c>
      <c r="E22" s="78" t="s">
        <v>4006</v>
      </c>
      <c r="F22" s="78" t="s">
        <v>4012</v>
      </c>
      <c r="G22" s="85" t="s">
        <v>4461</v>
      </c>
      <c r="H22" s="87" t="s">
        <v>4153</v>
      </c>
      <c r="I22" s="50" t="s">
        <v>4481</v>
      </c>
      <c r="J22" s="88"/>
    </row>
    <row r="23" spans="1:10" s="54" customFormat="1" ht="14.1" customHeight="1" x14ac:dyDescent="0.2">
      <c r="A23" s="76" t="s">
        <v>4163</v>
      </c>
      <c r="B23" s="78" t="s">
        <v>4014</v>
      </c>
      <c r="C23" s="78" t="s">
        <v>13</v>
      </c>
      <c r="D23" s="78" t="s">
        <v>4463</v>
      </c>
      <c r="E23" s="78" t="s">
        <v>4069</v>
      </c>
      <c r="F23" s="78" t="s">
        <v>4012</v>
      </c>
      <c r="G23" s="78" t="s">
        <v>4502</v>
      </c>
      <c r="H23" s="87" t="s">
        <v>4153</v>
      </c>
      <c r="I23" s="50" t="s">
        <v>4481</v>
      </c>
      <c r="J23" s="89"/>
    </row>
    <row r="24" spans="1:10" s="54" customFormat="1" ht="14.1" customHeight="1" x14ac:dyDescent="0.2">
      <c r="A24" s="66" t="s">
        <v>419</v>
      </c>
      <c r="B24" s="65" t="s">
        <v>4014</v>
      </c>
      <c r="C24" s="68" t="s">
        <v>13</v>
      </c>
      <c r="D24" s="61" t="s">
        <v>4068</v>
      </c>
      <c r="E24" s="61" t="s">
        <v>4069</v>
      </c>
      <c r="F24" s="62" t="s">
        <v>4072</v>
      </c>
      <c r="G24" s="62" t="s">
        <v>3349</v>
      </c>
      <c r="H24" s="109" t="s">
        <v>4001</v>
      </c>
      <c r="I24" s="64" t="s">
        <v>4505</v>
      </c>
      <c r="J24" s="69"/>
    </row>
    <row r="25" spans="1:10" s="54" customFormat="1" ht="14.1" customHeight="1" x14ac:dyDescent="0.2">
      <c r="A25" s="76" t="s">
        <v>3333</v>
      </c>
      <c r="B25" s="78" t="s">
        <v>4091</v>
      </c>
      <c r="C25" s="78" t="s">
        <v>13</v>
      </c>
      <c r="D25" s="78" t="s">
        <v>4189</v>
      </c>
      <c r="E25" s="78" t="s">
        <v>4069</v>
      </c>
      <c r="F25" s="78" t="s">
        <v>4085</v>
      </c>
      <c r="G25" s="78" t="s">
        <v>4468</v>
      </c>
      <c r="H25" s="78" t="s">
        <v>4153</v>
      </c>
      <c r="I25" s="87" t="s">
        <v>4481</v>
      </c>
      <c r="J25" s="89"/>
    </row>
    <row r="26" spans="1:10" s="54" customFormat="1" ht="14.1" customHeight="1" x14ac:dyDescent="0.2">
      <c r="A26" s="76" t="s">
        <v>4336</v>
      </c>
      <c r="B26" s="78" t="s">
        <v>4337</v>
      </c>
      <c r="C26" s="78" t="s">
        <v>13</v>
      </c>
      <c r="D26" s="78" t="s">
        <v>4376</v>
      </c>
      <c r="E26" s="78" t="s">
        <v>4006</v>
      </c>
      <c r="F26" s="78" t="s">
        <v>4375</v>
      </c>
      <c r="G26" s="78" t="s">
        <v>3629</v>
      </c>
      <c r="H26" s="78" t="s">
        <v>4021</v>
      </c>
      <c r="I26" s="87" t="s">
        <v>4481</v>
      </c>
      <c r="J26" s="89"/>
    </row>
    <row r="27" spans="1:10" s="54" customFormat="1" ht="14.1" customHeight="1" x14ac:dyDescent="0.2">
      <c r="A27" s="76" t="s">
        <v>4335</v>
      </c>
      <c r="B27" s="78" t="s">
        <v>4075</v>
      </c>
      <c r="C27" s="78" t="s">
        <v>13</v>
      </c>
      <c r="D27" s="78" t="s">
        <v>4381</v>
      </c>
      <c r="E27" s="78" t="s">
        <v>4005</v>
      </c>
      <c r="F27" s="78" t="s">
        <v>4379</v>
      </c>
      <c r="G27" s="78" t="s">
        <v>4380</v>
      </c>
      <c r="H27" s="78" t="s">
        <v>4021</v>
      </c>
      <c r="I27" s="87" t="s">
        <v>4481</v>
      </c>
      <c r="J27" s="88"/>
    </row>
    <row r="28" spans="1:10" s="54" customFormat="1" ht="14.1" customHeight="1" x14ac:dyDescent="0.2">
      <c r="A28" s="66" t="s">
        <v>4441</v>
      </c>
      <c r="B28" s="65" t="s">
        <v>4075</v>
      </c>
      <c r="C28" s="68" t="s">
        <v>13</v>
      </c>
      <c r="D28" s="61" t="s">
        <v>4073</v>
      </c>
      <c r="E28" s="61" t="s">
        <v>4069</v>
      </c>
      <c r="F28" s="62" t="s">
        <v>4074</v>
      </c>
      <c r="G28" s="62" t="s">
        <v>4502</v>
      </c>
      <c r="H28" s="63" t="s">
        <v>4001</v>
      </c>
      <c r="I28" s="67" t="s">
        <v>4505</v>
      </c>
      <c r="J28" s="89"/>
    </row>
    <row r="29" spans="1:10" s="54" customFormat="1" ht="14.1" customHeight="1" x14ac:dyDescent="0.2">
      <c r="A29" s="66" t="s">
        <v>4076</v>
      </c>
      <c r="B29" s="65" t="s">
        <v>4075</v>
      </c>
      <c r="C29" s="68" t="s">
        <v>13</v>
      </c>
      <c r="D29" s="61" t="s">
        <v>4073</v>
      </c>
      <c r="E29" s="61" t="s">
        <v>4069</v>
      </c>
      <c r="F29" s="62" t="s">
        <v>4074</v>
      </c>
      <c r="G29" s="62" t="s">
        <v>4469</v>
      </c>
      <c r="H29" s="63" t="s">
        <v>4001</v>
      </c>
      <c r="I29" s="67" t="s">
        <v>4505</v>
      </c>
      <c r="J29" s="88"/>
    </row>
    <row r="30" spans="1:10" s="54" customFormat="1" ht="14.1" customHeight="1" x14ac:dyDescent="0.2">
      <c r="A30" s="76" t="s">
        <v>4383</v>
      </c>
      <c r="B30" s="78" t="s">
        <v>4333</v>
      </c>
      <c r="C30" s="82">
        <v>9000</v>
      </c>
      <c r="D30" s="78" t="s">
        <v>4470</v>
      </c>
      <c r="E30" s="78" t="s">
        <v>4034</v>
      </c>
      <c r="F30" s="78" t="s">
        <v>4384</v>
      </c>
      <c r="G30" s="78" t="s">
        <v>4471</v>
      </c>
      <c r="H30" s="78" t="s">
        <v>4021</v>
      </c>
      <c r="I30" s="87" t="s">
        <v>4481</v>
      </c>
      <c r="J30" s="89"/>
    </row>
    <row r="31" spans="1:10" s="54" customFormat="1" ht="14.1" customHeight="1" x14ac:dyDescent="0.2">
      <c r="A31" s="76" t="s">
        <v>4161</v>
      </c>
      <c r="B31" s="78" t="s">
        <v>4067</v>
      </c>
      <c r="C31" s="78" t="s">
        <v>13</v>
      </c>
      <c r="D31" s="78" t="s">
        <v>4472</v>
      </c>
      <c r="E31" s="78" t="s">
        <v>4005</v>
      </c>
      <c r="F31" s="78" t="s">
        <v>4387</v>
      </c>
      <c r="G31" s="78" t="s">
        <v>4388</v>
      </c>
      <c r="H31" s="78" t="s">
        <v>4153</v>
      </c>
      <c r="I31" s="87" t="s">
        <v>4481</v>
      </c>
      <c r="J31" s="69"/>
    </row>
    <row r="32" spans="1:10" s="54" customFormat="1" ht="14.1" customHeight="1" x14ac:dyDescent="0.2">
      <c r="A32" s="76" t="s">
        <v>4220</v>
      </c>
      <c r="B32" s="78" t="s">
        <v>4221</v>
      </c>
      <c r="C32" s="82">
        <v>5000</v>
      </c>
      <c r="D32" s="78" t="s">
        <v>4176</v>
      </c>
      <c r="E32" s="78" t="s">
        <v>4069</v>
      </c>
      <c r="F32" s="78" t="s">
        <v>4448</v>
      </c>
      <c r="G32" s="51" t="s">
        <v>4473</v>
      </c>
      <c r="H32" s="78" t="s">
        <v>4153</v>
      </c>
      <c r="I32" s="87" t="s">
        <v>4481</v>
      </c>
      <c r="J32" s="89"/>
    </row>
    <row r="33" spans="1:10" s="54" customFormat="1" ht="14.1" customHeight="1" x14ac:dyDescent="0.2">
      <c r="A33" s="76" t="s">
        <v>4222</v>
      </c>
      <c r="B33" s="78" t="s">
        <v>4221</v>
      </c>
      <c r="C33" s="78" t="s">
        <v>13</v>
      </c>
      <c r="D33" s="78" t="s">
        <v>4474</v>
      </c>
      <c r="E33" s="78" t="s">
        <v>4069</v>
      </c>
      <c r="F33" s="78" t="s">
        <v>4475</v>
      </c>
      <c r="G33" s="78" t="s">
        <v>4502</v>
      </c>
      <c r="H33" s="78" t="s">
        <v>4153</v>
      </c>
      <c r="I33" s="87" t="s">
        <v>4481</v>
      </c>
      <c r="J33" s="88"/>
    </row>
    <row r="34" spans="1:10" s="54" customFormat="1" ht="14.1" customHeight="1" x14ac:dyDescent="0.2">
      <c r="A34" s="76" t="s">
        <v>4476</v>
      </c>
      <c r="B34" s="78" t="s">
        <v>4305</v>
      </c>
      <c r="C34" s="78" t="s">
        <v>13</v>
      </c>
      <c r="D34" s="78" t="s">
        <v>4477</v>
      </c>
      <c r="E34" s="78" t="s">
        <v>12</v>
      </c>
      <c r="F34" s="78" t="s">
        <v>4304</v>
      </c>
      <c r="G34" s="78" t="s">
        <v>4478</v>
      </c>
      <c r="H34" s="78" t="s">
        <v>4021</v>
      </c>
      <c r="I34" s="87" t="s">
        <v>4481</v>
      </c>
      <c r="J34" s="88"/>
    </row>
    <row r="35" spans="1:10" s="54" customFormat="1" ht="14.1" customHeight="1" x14ac:dyDescent="0.2">
      <c r="A35" s="76" t="s">
        <v>4287</v>
      </c>
      <c r="B35" s="78" t="s">
        <v>32</v>
      </c>
      <c r="C35" s="82">
        <v>6000</v>
      </c>
      <c r="D35" s="78" t="s">
        <v>4482</v>
      </c>
      <c r="E35" s="78" t="s">
        <v>4005</v>
      </c>
      <c r="F35" s="78" t="s">
        <v>31</v>
      </c>
      <c r="G35" s="78" t="s">
        <v>4394</v>
      </c>
      <c r="H35" s="78" t="s">
        <v>4153</v>
      </c>
      <c r="I35" s="87" t="s">
        <v>4481</v>
      </c>
      <c r="J35" s="89"/>
    </row>
    <row r="36" spans="1:10" s="54" customFormat="1" ht="14.1" customHeight="1" x14ac:dyDescent="0.2">
      <c r="A36" s="76" t="s">
        <v>4480</v>
      </c>
      <c r="B36" s="78" t="s">
        <v>32</v>
      </c>
      <c r="C36" s="82">
        <v>6000</v>
      </c>
      <c r="D36" s="78" t="s">
        <v>4481</v>
      </c>
      <c r="E36" s="78" t="s">
        <v>4069</v>
      </c>
      <c r="F36" s="78" t="s">
        <v>31</v>
      </c>
      <c r="G36" s="78" t="s">
        <v>4394</v>
      </c>
      <c r="H36" s="78" t="s">
        <v>4153</v>
      </c>
      <c r="I36" s="87" t="s">
        <v>4481</v>
      </c>
      <c r="J36" s="89"/>
    </row>
    <row r="37" spans="1:10" s="54" customFormat="1" ht="14.1" customHeight="1" x14ac:dyDescent="0.2">
      <c r="A37" s="77" t="s">
        <v>30</v>
      </c>
      <c r="B37" s="78" t="s">
        <v>32</v>
      </c>
      <c r="C37" s="82">
        <v>20000</v>
      </c>
      <c r="D37" s="78" t="s">
        <v>4284</v>
      </c>
      <c r="E37" s="78" t="s">
        <v>4006</v>
      </c>
      <c r="F37" s="78" t="s">
        <v>31</v>
      </c>
      <c r="G37" s="78" t="s">
        <v>4502</v>
      </c>
      <c r="H37" s="79" t="s">
        <v>4021</v>
      </c>
      <c r="I37" s="87" t="s">
        <v>4505</v>
      </c>
      <c r="J37" s="75"/>
    </row>
    <row r="38" spans="1:10" s="54" customFormat="1" ht="14.1" customHeight="1" x14ac:dyDescent="0.2">
      <c r="A38" s="77" t="s">
        <v>4286</v>
      </c>
      <c r="B38" s="79" t="s">
        <v>32</v>
      </c>
      <c r="C38" s="78" t="s">
        <v>13</v>
      </c>
      <c r="D38" s="78" t="s">
        <v>4285</v>
      </c>
      <c r="E38" s="78" t="s">
        <v>4006</v>
      </c>
      <c r="F38" s="78" t="s">
        <v>4018</v>
      </c>
      <c r="G38" s="78" t="s">
        <v>4479</v>
      </c>
      <c r="H38" s="79" t="s">
        <v>4001</v>
      </c>
      <c r="I38" s="87" t="s">
        <v>4505</v>
      </c>
      <c r="J38" s="88"/>
    </row>
    <row r="39" spans="1:10" s="54" customFormat="1" ht="14.1" customHeight="1" x14ac:dyDescent="0.2">
      <c r="A39" s="76" t="s">
        <v>4282</v>
      </c>
      <c r="B39" s="78" t="s">
        <v>4283</v>
      </c>
      <c r="C39" s="82">
        <v>6000</v>
      </c>
      <c r="D39" s="78" t="s">
        <v>4483</v>
      </c>
      <c r="E39" s="78" t="s">
        <v>4006</v>
      </c>
      <c r="F39" s="78" t="s">
        <v>4485</v>
      </c>
      <c r="G39" s="78" t="s">
        <v>4484</v>
      </c>
      <c r="H39" s="78" t="s">
        <v>4153</v>
      </c>
      <c r="I39" s="87" t="s">
        <v>4481</v>
      </c>
      <c r="J39" s="88"/>
    </row>
    <row r="40" spans="1:10" s="54" customFormat="1" ht="14.1" customHeight="1" x14ac:dyDescent="0.2">
      <c r="A40" s="76" t="s">
        <v>4316</v>
      </c>
      <c r="B40" s="78" t="s">
        <v>4317</v>
      </c>
      <c r="C40" s="82">
        <v>10000</v>
      </c>
      <c r="D40" s="78" t="s">
        <v>4423</v>
      </c>
      <c r="E40" s="78" t="s">
        <v>4069</v>
      </c>
      <c r="F40" s="78" t="s">
        <v>4318</v>
      </c>
      <c r="G40" s="78" t="s">
        <v>3629</v>
      </c>
      <c r="H40" s="78" t="s">
        <v>4021</v>
      </c>
      <c r="I40" s="87" t="s">
        <v>4481</v>
      </c>
      <c r="J40" s="75"/>
    </row>
    <row r="41" spans="1:10" s="54" customFormat="1" ht="14.1" customHeight="1" x14ac:dyDescent="0.2">
      <c r="A41" s="76" t="s">
        <v>4367</v>
      </c>
      <c r="B41" s="78" t="s">
        <v>4317</v>
      </c>
      <c r="C41" s="78" t="s">
        <v>13</v>
      </c>
      <c r="D41" s="78" t="s">
        <v>4184</v>
      </c>
      <c r="E41" s="78" t="s">
        <v>4028</v>
      </c>
      <c r="F41" s="78" t="s">
        <v>4340</v>
      </c>
      <c r="G41" s="78" t="s">
        <v>4368</v>
      </c>
      <c r="H41" s="78" t="s">
        <v>4021</v>
      </c>
      <c r="I41" s="87" t="s">
        <v>4481</v>
      </c>
      <c r="J41" s="88"/>
    </row>
    <row r="42" spans="1:10" s="54" customFormat="1" ht="14.1" customHeight="1" x14ac:dyDescent="0.2">
      <c r="A42" s="76" t="s">
        <v>4486</v>
      </c>
      <c r="B42" s="78" t="s">
        <v>4180</v>
      </c>
      <c r="C42" s="78" t="s">
        <v>13</v>
      </c>
      <c r="D42" s="78" t="s">
        <v>4488</v>
      </c>
      <c r="E42" s="78" t="s">
        <v>4069</v>
      </c>
      <c r="F42" s="78" t="s">
        <v>4487</v>
      </c>
      <c r="G42" s="78" t="s">
        <v>4502</v>
      </c>
      <c r="H42" s="78" t="s">
        <v>4153</v>
      </c>
      <c r="I42" s="87" t="s">
        <v>4505</v>
      </c>
      <c r="J42" s="75"/>
    </row>
    <row r="43" spans="1:10" s="54" customFormat="1" ht="14.1" customHeight="1" x14ac:dyDescent="0.2">
      <c r="A43" s="76" t="s">
        <v>4181</v>
      </c>
      <c r="B43" s="78" t="s">
        <v>4180</v>
      </c>
      <c r="C43" s="78" t="s">
        <v>13</v>
      </c>
      <c r="D43" s="78" t="s">
        <v>4491</v>
      </c>
      <c r="E43" s="78" t="s">
        <v>4069</v>
      </c>
      <c r="F43" s="78" t="s">
        <v>4489</v>
      </c>
      <c r="G43" s="78" t="s">
        <v>4490</v>
      </c>
      <c r="H43" s="78" t="s">
        <v>4153</v>
      </c>
      <c r="I43" s="87" t="s">
        <v>4505</v>
      </c>
      <c r="J43" s="88"/>
    </row>
    <row r="44" spans="1:10" s="54" customFormat="1" ht="14.1" customHeight="1" x14ac:dyDescent="0.2">
      <c r="A44" s="66" t="s">
        <v>4128</v>
      </c>
      <c r="B44" s="65" t="s">
        <v>3998</v>
      </c>
      <c r="C44" s="68" t="s">
        <v>13</v>
      </c>
      <c r="D44" s="61" t="s">
        <v>4127</v>
      </c>
      <c r="E44" s="61" t="s">
        <v>11</v>
      </c>
      <c r="F44" s="62" t="s">
        <v>4000</v>
      </c>
      <c r="G44" s="62" t="s">
        <v>3495</v>
      </c>
      <c r="H44" s="63" t="s">
        <v>4021</v>
      </c>
      <c r="I44" s="67" t="s">
        <v>4481</v>
      </c>
      <c r="J44" s="88"/>
    </row>
    <row r="45" spans="1:10" s="54" customFormat="1" ht="14.1" customHeight="1" x14ac:dyDescent="0.2">
      <c r="A45" s="66" t="s">
        <v>3748</v>
      </c>
      <c r="B45" s="65" t="s">
        <v>3998</v>
      </c>
      <c r="C45" s="68" t="s">
        <v>13</v>
      </c>
      <c r="D45" s="61" t="s">
        <v>3999</v>
      </c>
      <c r="E45" s="61" t="s">
        <v>12</v>
      </c>
      <c r="F45" s="62" t="s">
        <v>4000</v>
      </c>
      <c r="G45" s="62" t="s">
        <v>882</v>
      </c>
      <c r="H45" s="63" t="s">
        <v>4001</v>
      </c>
      <c r="I45" s="87" t="s">
        <v>4481</v>
      </c>
      <c r="J45" s="88"/>
    </row>
    <row r="46" spans="1:10" s="54" customFormat="1" ht="14.1" customHeight="1" x14ac:dyDescent="0.2">
      <c r="A46" s="76" t="s">
        <v>4276</v>
      </c>
      <c r="B46" s="78" t="s">
        <v>4277</v>
      </c>
      <c r="C46" s="78" t="s">
        <v>13</v>
      </c>
      <c r="D46" s="78" t="s">
        <v>4493</v>
      </c>
      <c r="E46" s="78" t="s">
        <v>4017</v>
      </c>
      <c r="F46" s="78" t="s">
        <v>4400</v>
      </c>
      <c r="G46" s="78" t="s">
        <v>4492</v>
      </c>
      <c r="H46" s="78" t="s">
        <v>4153</v>
      </c>
      <c r="I46" s="87" t="s">
        <v>4481</v>
      </c>
      <c r="J46" s="75"/>
    </row>
    <row r="47" spans="1:10" s="54" customFormat="1" ht="14.1" customHeight="1" x14ac:dyDescent="0.2">
      <c r="A47" s="77" t="s">
        <v>3656</v>
      </c>
      <c r="B47" s="65" t="s">
        <v>27</v>
      </c>
      <c r="C47" s="68" t="s">
        <v>13</v>
      </c>
      <c r="D47" s="61" t="s">
        <v>4015</v>
      </c>
      <c r="E47" s="61" t="s">
        <v>4004</v>
      </c>
      <c r="F47" s="62" t="s">
        <v>4016</v>
      </c>
      <c r="G47" s="62" t="s">
        <v>3659</v>
      </c>
      <c r="H47" s="63" t="s">
        <v>4001</v>
      </c>
      <c r="I47" s="67" t="s">
        <v>4481</v>
      </c>
      <c r="J47" s="88"/>
    </row>
    <row r="48" spans="1:10" s="54" customFormat="1" ht="14.1" customHeight="1" x14ac:dyDescent="0.2">
      <c r="A48" s="66" t="s">
        <v>3534</v>
      </c>
      <c r="B48" s="65" t="s">
        <v>27</v>
      </c>
      <c r="C48" s="68" t="s">
        <v>13</v>
      </c>
      <c r="D48" s="61" t="s">
        <v>4042</v>
      </c>
      <c r="E48" s="61" t="s">
        <v>4005</v>
      </c>
      <c r="F48" s="62" t="s">
        <v>4016</v>
      </c>
      <c r="G48" s="62" t="s">
        <v>4041</v>
      </c>
      <c r="H48" s="63" t="s">
        <v>4001</v>
      </c>
      <c r="I48" s="67" t="s">
        <v>4481</v>
      </c>
      <c r="J48" s="88"/>
    </row>
    <row r="49" spans="1:10" s="54" customFormat="1" ht="14.1" customHeight="1" x14ac:dyDescent="0.2">
      <c r="A49" s="66" t="s">
        <v>2294</v>
      </c>
      <c r="B49" s="65" t="s">
        <v>27</v>
      </c>
      <c r="C49" s="68" t="s">
        <v>13</v>
      </c>
      <c r="D49" s="61" t="s">
        <v>4078</v>
      </c>
      <c r="E49" s="61" t="s">
        <v>4069</v>
      </c>
      <c r="F49" s="62" t="s">
        <v>4016</v>
      </c>
      <c r="G49" s="62" t="s">
        <v>4494</v>
      </c>
      <c r="H49" s="63" t="s">
        <v>4001</v>
      </c>
      <c r="I49" s="67" t="s">
        <v>4507</v>
      </c>
      <c r="J49" s="89"/>
    </row>
    <row r="50" spans="1:10" s="54" customFormat="1" ht="14.1" customHeight="1" x14ac:dyDescent="0.2">
      <c r="A50" s="66" t="s">
        <v>9</v>
      </c>
      <c r="B50" s="65" t="s">
        <v>27</v>
      </c>
      <c r="C50" s="68" t="s">
        <v>13</v>
      </c>
      <c r="D50" s="61" t="s">
        <v>4141</v>
      </c>
      <c r="E50" s="61" t="s">
        <v>11</v>
      </c>
      <c r="F50" s="62" t="s">
        <v>4016</v>
      </c>
      <c r="G50" s="62" t="s">
        <v>3659</v>
      </c>
      <c r="H50" s="63" t="s">
        <v>4001</v>
      </c>
      <c r="I50" s="67" t="s">
        <v>4505</v>
      </c>
      <c r="J50" s="88"/>
    </row>
    <row r="51" spans="1:10" s="54" customFormat="1" ht="14.1" customHeight="1" x14ac:dyDescent="0.2">
      <c r="A51" s="77" t="s">
        <v>4437</v>
      </c>
      <c r="B51" s="79" t="s">
        <v>27</v>
      </c>
      <c r="C51" s="78" t="s">
        <v>13</v>
      </c>
      <c r="D51" s="78" t="s">
        <v>10</v>
      </c>
      <c r="E51" s="78" t="s">
        <v>11</v>
      </c>
      <c r="F51" s="78" t="s">
        <v>4016</v>
      </c>
      <c r="G51" s="78" t="s">
        <v>864</v>
      </c>
      <c r="H51" s="79" t="s">
        <v>4021</v>
      </c>
      <c r="I51" s="87" t="s">
        <v>4505</v>
      </c>
      <c r="J51" s="75"/>
    </row>
    <row r="52" spans="1:10" s="54" customFormat="1" ht="14.1" customHeight="1" x14ac:dyDescent="0.2">
      <c r="A52" s="66" t="s">
        <v>4442</v>
      </c>
      <c r="B52" s="65" t="s">
        <v>3508</v>
      </c>
      <c r="C52" s="68" t="s">
        <v>13</v>
      </c>
      <c r="D52" s="61" t="s">
        <v>4129</v>
      </c>
      <c r="E52" s="61" t="s">
        <v>11</v>
      </c>
      <c r="F52" s="62" t="s">
        <v>4130</v>
      </c>
      <c r="G52" s="62" t="s">
        <v>4502</v>
      </c>
      <c r="H52" s="63" t="s">
        <v>4001</v>
      </c>
      <c r="I52" s="67" t="s">
        <v>4481</v>
      </c>
      <c r="J52" s="89"/>
    </row>
    <row r="53" spans="1:10" s="54" customFormat="1" ht="14.1" customHeight="1" x14ac:dyDescent="0.2">
      <c r="A53" s="76" t="s">
        <v>4175</v>
      </c>
      <c r="B53" s="78" t="s">
        <v>4037</v>
      </c>
      <c r="C53" s="82">
        <v>10000</v>
      </c>
      <c r="D53" s="78" t="s">
        <v>4176</v>
      </c>
      <c r="E53" s="78" t="s">
        <v>4005</v>
      </c>
      <c r="F53" s="78" t="s">
        <v>4035</v>
      </c>
      <c r="G53" s="78" t="s">
        <v>3389</v>
      </c>
      <c r="H53" s="78" t="s">
        <v>4153</v>
      </c>
      <c r="I53" s="87" t="s">
        <v>4481</v>
      </c>
      <c r="J53" s="89"/>
    </row>
    <row r="54" spans="1:10" s="54" customFormat="1" ht="14.1" customHeight="1" x14ac:dyDescent="0.2">
      <c r="A54" s="76" t="s">
        <v>4178</v>
      </c>
      <c r="B54" s="78" t="s">
        <v>4037</v>
      </c>
      <c r="C54" s="78" t="s">
        <v>13</v>
      </c>
      <c r="D54" s="78" t="s">
        <v>4497</v>
      </c>
      <c r="E54" s="78" t="s">
        <v>11</v>
      </c>
      <c r="F54" s="78" t="s">
        <v>4035</v>
      </c>
      <c r="G54" s="78" t="s">
        <v>4498</v>
      </c>
      <c r="H54" s="78" t="s">
        <v>4153</v>
      </c>
      <c r="I54" s="87" t="s">
        <v>4481</v>
      </c>
      <c r="J54" s="75"/>
    </row>
    <row r="55" spans="1:10" s="53" customFormat="1" ht="14.1" customHeight="1" x14ac:dyDescent="0.2">
      <c r="A55" s="96" t="s">
        <v>3387</v>
      </c>
      <c r="B55" s="97" t="s">
        <v>4037</v>
      </c>
      <c r="C55" s="100" t="s">
        <v>13</v>
      </c>
      <c r="D55" s="100" t="s">
        <v>4495</v>
      </c>
      <c r="E55" s="105" t="s">
        <v>4496</v>
      </c>
      <c r="F55" s="100" t="s">
        <v>4035</v>
      </c>
      <c r="G55" s="105" t="s">
        <v>4502</v>
      </c>
      <c r="H55" s="78" t="s">
        <v>4001</v>
      </c>
      <c r="I55" s="112" t="s">
        <v>4506</v>
      </c>
      <c r="J55" s="88"/>
    </row>
    <row r="56" spans="1:10" s="54" customFormat="1" ht="14.1" customHeight="1" x14ac:dyDescent="0.2">
      <c r="A56" s="77" t="s">
        <v>7</v>
      </c>
      <c r="B56" s="79" t="s">
        <v>24</v>
      </c>
      <c r="C56" s="82">
        <v>100000</v>
      </c>
      <c r="D56" s="78" t="s">
        <v>4499</v>
      </c>
      <c r="E56" s="78" t="s">
        <v>12</v>
      </c>
      <c r="F56" s="78" t="s">
        <v>8</v>
      </c>
      <c r="G56" s="78" t="s">
        <v>4502</v>
      </c>
      <c r="H56" s="79" t="s">
        <v>4021</v>
      </c>
      <c r="I56" s="87" t="s">
        <v>4481</v>
      </c>
      <c r="J56" s="88"/>
    </row>
    <row r="57" spans="1:10" s="54" customFormat="1" ht="14.1" customHeight="1" x14ac:dyDescent="0.2">
      <c r="A57" s="66" t="s">
        <v>1810</v>
      </c>
      <c r="B57" s="65" t="s">
        <v>4031</v>
      </c>
      <c r="C57" s="68" t="s">
        <v>13</v>
      </c>
      <c r="D57" s="61" t="s">
        <v>4029</v>
      </c>
      <c r="E57" s="61" t="s">
        <v>4028</v>
      </c>
      <c r="F57" s="62" t="s">
        <v>4027</v>
      </c>
      <c r="G57" s="62" t="s">
        <v>3603</v>
      </c>
      <c r="H57" s="63" t="s">
        <v>4001</v>
      </c>
      <c r="I57" s="67" t="s">
        <v>4505</v>
      </c>
      <c r="J57" s="88"/>
    </row>
    <row r="58" spans="1:10" s="54" customFormat="1" ht="14.1" customHeight="1" x14ac:dyDescent="0.2">
      <c r="A58" s="66" t="s">
        <v>3676</v>
      </c>
      <c r="B58" s="65" t="s">
        <v>4031</v>
      </c>
      <c r="C58" s="68" t="s">
        <v>13</v>
      </c>
      <c r="D58" s="61" t="s">
        <v>4501</v>
      </c>
      <c r="E58" s="61" t="s">
        <v>4005</v>
      </c>
      <c r="F58" s="62" t="s">
        <v>4027</v>
      </c>
      <c r="G58" s="62" t="s">
        <v>3629</v>
      </c>
      <c r="H58" s="63" t="s">
        <v>4001</v>
      </c>
      <c r="I58" s="67" t="s">
        <v>4481</v>
      </c>
      <c r="J58" s="88"/>
    </row>
    <row r="59" spans="1:10" s="54" customFormat="1" ht="14.1" customHeight="1" x14ac:dyDescent="0.2">
      <c r="A59" s="66" t="s">
        <v>3627</v>
      </c>
      <c r="B59" s="65" t="s">
        <v>4031</v>
      </c>
      <c r="C59" s="68" t="s">
        <v>13</v>
      </c>
      <c r="D59" s="61" t="s">
        <v>4099</v>
      </c>
      <c r="E59" s="61" t="s">
        <v>4069</v>
      </c>
      <c r="F59" s="62" t="s">
        <v>4100</v>
      </c>
      <c r="G59" s="62" t="s">
        <v>3629</v>
      </c>
      <c r="H59" s="63" t="s">
        <v>4001</v>
      </c>
      <c r="I59" s="67" t="s">
        <v>4481</v>
      </c>
      <c r="J59" s="88"/>
    </row>
    <row r="60" spans="1:10" s="54" customFormat="1" ht="14.1" customHeight="1" x14ac:dyDescent="0.2">
      <c r="A60" s="76" t="s">
        <v>4500</v>
      </c>
      <c r="B60" s="78" t="s">
        <v>4031</v>
      </c>
      <c r="C60" s="78" t="s">
        <v>13</v>
      </c>
      <c r="D60" s="78" t="s">
        <v>4241</v>
      </c>
      <c r="E60" s="78" t="s">
        <v>4069</v>
      </c>
      <c r="F60" s="78" t="s">
        <v>4027</v>
      </c>
      <c r="G60" s="78" t="s">
        <v>3603</v>
      </c>
      <c r="H60" s="78" t="s">
        <v>4153</v>
      </c>
      <c r="I60" s="87" t="s">
        <v>4505</v>
      </c>
      <c r="J60" s="89"/>
    </row>
    <row r="61" spans="1:10" s="54" customFormat="1" ht="14.1" customHeight="1" x14ac:dyDescent="0.2">
      <c r="A61" s="76" t="s">
        <v>4268</v>
      </c>
      <c r="B61" s="78" t="s">
        <v>4031</v>
      </c>
      <c r="C61" s="78" t="s">
        <v>13</v>
      </c>
      <c r="D61" s="78" t="s">
        <v>4269</v>
      </c>
      <c r="E61" s="78" t="s">
        <v>4069</v>
      </c>
      <c r="F61" s="78" t="s">
        <v>4027</v>
      </c>
      <c r="G61" s="78" t="s">
        <v>3603</v>
      </c>
      <c r="H61" s="78" t="s">
        <v>4153</v>
      </c>
      <c r="I61" s="87" t="s">
        <v>4505</v>
      </c>
      <c r="J61" s="88"/>
    </row>
    <row r="62" spans="1:10" s="54" customFormat="1" ht="14.1" customHeight="1" x14ac:dyDescent="0.2">
      <c r="A62" s="66" t="s">
        <v>3452</v>
      </c>
      <c r="B62" s="65" t="s">
        <v>4031</v>
      </c>
      <c r="C62" s="68" t="s">
        <v>13</v>
      </c>
      <c r="D62" s="103" t="s">
        <v>4124</v>
      </c>
      <c r="E62" s="61" t="s">
        <v>11</v>
      </c>
      <c r="F62" s="62" t="s">
        <v>4119</v>
      </c>
      <c r="G62" s="62" t="s">
        <v>4502</v>
      </c>
      <c r="H62" s="63" t="s">
        <v>4001</v>
      </c>
      <c r="I62" s="67" t="s">
        <v>4481</v>
      </c>
      <c r="J62" s="75"/>
    </row>
    <row r="63" spans="1:10" s="54" customFormat="1" ht="14.1" customHeight="1" x14ac:dyDescent="0.2">
      <c r="A63" s="66" t="s">
        <v>1081</v>
      </c>
      <c r="B63" s="65" t="s">
        <v>4031</v>
      </c>
      <c r="C63" s="68" t="s">
        <v>13</v>
      </c>
      <c r="D63" s="61" t="s">
        <v>4118</v>
      </c>
      <c r="E63" s="61" t="s">
        <v>11</v>
      </c>
      <c r="F63" s="62" t="s">
        <v>4119</v>
      </c>
      <c r="G63" s="62" t="s">
        <v>1084</v>
      </c>
      <c r="H63" s="63" t="s">
        <v>4001</v>
      </c>
      <c r="I63" s="67" t="s">
        <v>4505</v>
      </c>
      <c r="J63" s="88"/>
    </row>
    <row r="64" spans="1:10" s="54" customFormat="1" ht="14.1" customHeight="1" x14ac:dyDescent="0.2">
      <c r="A64" s="66" t="s">
        <v>451</v>
      </c>
      <c r="B64" s="65" t="s">
        <v>4145</v>
      </c>
      <c r="C64" s="92">
        <v>7000</v>
      </c>
      <c r="D64" s="61" t="s">
        <v>4296</v>
      </c>
      <c r="E64" s="61" t="s">
        <v>11</v>
      </c>
      <c r="F64" s="62" t="s">
        <v>4110</v>
      </c>
      <c r="G64" s="62" t="s">
        <v>4297</v>
      </c>
      <c r="H64" s="63" t="s">
        <v>4001</v>
      </c>
      <c r="I64" s="67" t="s">
        <v>4505</v>
      </c>
      <c r="J64" s="69"/>
    </row>
    <row r="65" spans="1:10" s="54" customFormat="1" ht="14.1" customHeight="1" x14ac:dyDescent="0.2">
      <c r="A65" s="76" t="s">
        <v>4328</v>
      </c>
      <c r="B65" s="78" t="s">
        <v>4145</v>
      </c>
      <c r="C65" s="78" t="s">
        <v>13</v>
      </c>
      <c r="D65" s="78" t="s">
        <v>4405</v>
      </c>
      <c r="E65" s="78" t="s">
        <v>4006</v>
      </c>
      <c r="F65" s="78" t="s">
        <v>4110</v>
      </c>
      <c r="G65" s="78" t="s">
        <v>4503</v>
      </c>
      <c r="H65" s="78" t="s">
        <v>4021</v>
      </c>
      <c r="I65" s="87" t="s">
        <v>4481</v>
      </c>
      <c r="J65" s="89"/>
    </row>
    <row r="66" spans="1:10" s="54" customFormat="1" ht="14.1" customHeight="1" x14ac:dyDescent="0.2">
      <c r="A66" s="76" t="s">
        <v>4205</v>
      </c>
      <c r="B66" s="78" t="s">
        <v>4204</v>
      </c>
      <c r="C66" s="78" t="s">
        <v>4207</v>
      </c>
      <c r="D66" s="78" t="s">
        <v>4176</v>
      </c>
      <c r="E66" s="78" t="s">
        <v>4005</v>
      </c>
      <c r="F66" s="78" t="s">
        <v>4408</v>
      </c>
      <c r="G66" s="78" t="s">
        <v>4206</v>
      </c>
      <c r="H66" s="78" t="s">
        <v>4153</v>
      </c>
      <c r="I66" s="87" t="s">
        <v>4481</v>
      </c>
      <c r="J66" s="88"/>
    </row>
    <row r="67" spans="1:10" s="54" customFormat="1" ht="14.1" customHeight="1" x14ac:dyDescent="0.2">
      <c r="A67" s="77" t="s">
        <v>3652</v>
      </c>
      <c r="B67" s="78" t="s">
        <v>4024</v>
      </c>
      <c r="C67" s="78" t="s">
        <v>13</v>
      </c>
      <c r="D67" s="78" t="s">
        <v>4025</v>
      </c>
      <c r="E67" s="78" t="s">
        <v>4017</v>
      </c>
      <c r="F67" s="78" t="s">
        <v>4026</v>
      </c>
      <c r="G67" s="78" t="s">
        <v>4036</v>
      </c>
      <c r="H67" s="78" t="s">
        <v>4001</v>
      </c>
      <c r="I67" s="87" t="s">
        <v>4481</v>
      </c>
      <c r="J67" s="88"/>
    </row>
    <row r="68" spans="1:10" s="54" customFormat="1" ht="14.1" customHeight="1" x14ac:dyDescent="0.2">
      <c r="A68" s="66" t="s">
        <v>3625</v>
      </c>
      <c r="B68" s="65" t="s">
        <v>4024</v>
      </c>
      <c r="C68" s="68" t="s">
        <v>13</v>
      </c>
      <c r="D68" s="61" t="s">
        <v>4098</v>
      </c>
      <c r="E68" s="61" t="s">
        <v>4069</v>
      </c>
      <c r="F68" s="62" t="s">
        <v>4026</v>
      </c>
      <c r="G68" s="62" t="s">
        <v>4504</v>
      </c>
      <c r="H68" s="63" t="s">
        <v>4001</v>
      </c>
      <c r="I68" s="67" t="s">
        <v>4481</v>
      </c>
      <c r="J68" s="75"/>
    </row>
    <row r="69" spans="1:10" s="54" customFormat="1" ht="14.1" customHeight="1" x14ac:dyDescent="0.2">
      <c r="A69" s="76" t="s">
        <v>4325</v>
      </c>
      <c r="B69" s="78" t="s">
        <v>4326</v>
      </c>
      <c r="C69" s="78" t="s">
        <v>13</v>
      </c>
      <c r="D69" s="78" t="s">
        <v>4158</v>
      </c>
      <c r="E69" s="78" t="s">
        <v>4006</v>
      </c>
      <c r="F69" s="78" t="s">
        <v>4414</v>
      </c>
      <c r="G69" s="78" t="s">
        <v>4510</v>
      </c>
      <c r="H69" s="78" t="s">
        <v>4021</v>
      </c>
      <c r="I69" s="87" t="s">
        <v>4481</v>
      </c>
      <c r="J69" s="88"/>
    </row>
    <row r="70" spans="1:10" s="54" customFormat="1" ht="14.1" customHeight="1" x14ac:dyDescent="0.2">
      <c r="A70" s="74" t="s">
        <v>4201</v>
      </c>
      <c r="B70" s="45" t="s">
        <v>4202</v>
      </c>
      <c r="C70" s="45" t="s">
        <v>13</v>
      </c>
      <c r="D70" s="45" t="s">
        <v>4374</v>
      </c>
      <c r="E70" s="45" t="s">
        <v>4006</v>
      </c>
      <c r="F70" s="45" t="s">
        <v>4511</v>
      </c>
      <c r="G70" s="45" t="s">
        <v>4512</v>
      </c>
      <c r="H70" s="45" t="s">
        <v>4153</v>
      </c>
      <c r="I70" s="50" t="s">
        <v>4481</v>
      </c>
      <c r="J70" s="88"/>
    </row>
    <row r="71" spans="1:10" s="54" customFormat="1" ht="14.1" customHeight="1" x14ac:dyDescent="0.2">
      <c r="A71" s="74" t="s">
        <v>4258</v>
      </c>
      <c r="B71" s="45" t="s">
        <v>4256</v>
      </c>
      <c r="C71" s="45" t="s">
        <v>13</v>
      </c>
      <c r="D71" s="45" t="s">
        <v>4259</v>
      </c>
      <c r="E71" s="45" t="s">
        <v>4069</v>
      </c>
      <c r="F71" s="45"/>
      <c r="G71" s="45" t="s">
        <v>4260</v>
      </c>
      <c r="H71" s="45" t="s">
        <v>4153</v>
      </c>
      <c r="I71" s="50" t="s">
        <v>4481</v>
      </c>
      <c r="J71" s="89"/>
    </row>
    <row r="72" spans="1:10" s="54" customFormat="1" ht="14.1" customHeight="1" x14ac:dyDescent="0.2">
      <c r="A72" s="74" t="s">
        <v>4257</v>
      </c>
      <c r="B72" s="45" t="s">
        <v>4256</v>
      </c>
      <c r="C72" s="45" t="s">
        <v>13</v>
      </c>
      <c r="D72" s="45" t="s">
        <v>4261</v>
      </c>
      <c r="E72" s="45"/>
      <c r="F72" s="45"/>
      <c r="G72" s="45"/>
      <c r="H72" s="45" t="s">
        <v>4153</v>
      </c>
      <c r="I72" s="50" t="s">
        <v>4505</v>
      </c>
      <c r="J72" s="89"/>
    </row>
    <row r="73" spans="1:10" s="54" customFormat="1" ht="14.1" customHeight="1" x14ac:dyDescent="0.2">
      <c r="A73" s="74" t="s">
        <v>4227</v>
      </c>
      <c r="B73" s="45" t="s">
        <v>4228</v>
      </c>
      <c r="C73" s="49">
        <v>2500</v>
      </c>
      <c r="D73" s="45" t="s">
        <v>4229</v>
      </c>
      <c r="E73" s="45"/>
      <c r="F73" s="45"/>
      <c r="G73" s="45"/>
      <c r="H73" s="45" t="s">
        <v>4153</v>
      </c>
      <c r="I73" s="50" t="s">
        <v>4481</v>
      </c>
      <c r="J73" s="88"/>
    </row>
    <row r="74" spans="1:10" s="54" customFormat="1" ht="14.1" customHeight="1" x14ac:dyDescent="0.2">
      <c r="A74" s="74" t="s">
        <v>4293</v>
      </c>
      <c r="B74" s="45" t="s">
        <v>4083</v>
      </c>
      <c r="C74" s="45" t="s">
        <v>13</v>
      </c>
      <c r="D74" s="45" t="s">
        <v>4179</v>
      </c>
      <c r="E74" s="45" t="s">
        <v>4006</v>
      </c>
      <c r="F74" s="45" t="s">
        <v>4081</v>
      </c>
      <c r="G74" s="45" t="s">
        <v>4513</v>
      </c>
      <c r="H74" s="45" t="s">
        <v>4153</v>
      </c>
      <c r="I74" s="50" t="s">
        <v>4481</v>
      </c>
      <c r="J74" s="88"/>
    </row>
    <row r="75" spans="1:10" s="54" customFormat="1" ht="14.1" customHeight="1" x14ac:dyDescent="0.2">
      <c r="A75" s="60" t="s">
        <v>4079</v>
      </c>
      <c r="B75" s="70" t="s">
        <v>4083</v>
      </c>
      <c r="C75" s="81" t="s">
        <v>13</v>
      </c>
      <c r="D75" s="71" t="s">
        <v>4080</v>
      </c>
      <c r="E75" s="71" t="s">
        <v>4069</v>
      </c>
      <c r="F75" s="72" t="s">
        <v>4081</v>
      </c>
      <c r="G75" s="72" t="s">
        <v>4082</v>
      </c>
      <c r="H75" s="73" t="s">
        <v>4001</v>
      </c>
      <c r="I75" s="64" t="s">
        <v>4506</v>
      </c>
      <c r="J75" s="88"/>
    </row>
    <row r="76" spans="1:10" s="54" customFormat="1" ht="14.1" customHeight="1" x14ac:dyDescent="0.2">
      <c r="A76" s="74" t="s">
        <v>4295</v>
      </c>
      <c r="B76" s="45" t="s">
        <v>4083</v>
      </c>
      <c r="C76" s="45" t="s">
        <v>13</v>
      </c>
      <c r="D76" s="45" t="s">
        <v>4515</v>
      </c>
      <c r="E76" s="45" t="s">
        <v>4069</v>
      </c>
      <c r="F76" s="45" t="s">
        <v>4081</v>
      </c>
      <c r="G76" s="45"/>
      <c r="H76" s="45" t="s">
        <v>4153</v>
      </c>
      <c r="I76" s="50" t="s">
        <v>4506</v>
      </c>
      <c r="J76" s="75"/>
    </row>
    <row r="77" spans="1:10" s="54" customFormat="1" ht="14.1" customHeight="1" x14ac:dyDescent="0.2">
      <c r="A77" s="74" t="s">
        <v>4294</v>
      </c>
      <c r="B77" s="45" t="s">
        <v>4083</v>
      </c>
      <c r="C77" s="45" t="s">
        <v>13</v>
      </c>
      <c r="D77" s="45"/>
      <c r="E77" s="45"/>
      <c r="F77" s="45" t="s">
        <v>4514</v>
      </c>
      <c r="G77" s="45"/>
      <c r="H77" s="45" t="s">
        <v>4153</v>
      </c>
      <c r="I77" s="50" t="s">
        <v>4481</v>
      </c>
      <c r="J77" s="88"/>
    </row>
    <row r="78" spans="1:10" s="54" customFormat="1" ht="14.1" customHeight="1" x14ac:dyDescent="0.2">
      <c r="A78" s="74" t="s">
        <v>4308</v>
      </c>
      <c r="B78" s="45" t="s">
        <v>4309</v>
      </c>
      <c r="C78" s="45" t="s">
        <v>13</v>
      </c>
      <c r="D78" s="45" t="s">
        <v>4158</v>
      </c>
      <c r="E78" s="45" t="s">
        <v>4069</v>
      </c>
      <c r="F78" s="45" t="s">
        <v>4516</v>
      </c>
      <c r="G78" s="45" t="s">
        <v>3629</v>
      </c>
      <c r="H78" s="45" t="s">
        <v>4310</v>
      </c>
      <c r="I78" s="50" t="s">
        <v>4481</v>
      </c>
      <c r="J78" s="88"/>
    </row>
    <row r="79" spans="1:10" s="54" customFormat="1" ht="14.1" customHeight="1" x14ac:dyDescent="0.2">
      <c r="A79" s="74" t="s">
        <v>4255</v>
      </c>
      <c r="B79" s="45" t="s">
        <v>4146</v>
      </c>
      <c r="C79" s="45" t="s">
        <v>13</v>
      </c>
      <c r="D79" s="45" t="s">
        <v>4418</v>
      </c>
      <c r="E79" s="45" t="s">
        <v>4005</v>
      </c>
      <c r="F79" s="45" t="s">
        <v>4417</v>
      </c>
      <c r="G79" s="45"/>
      <c r="H79" s="45" t="s">
        <v>4153</v>
      </c>
      <c r="I79" s="50" t="s">
        <v>4481</v>
      </c>
      <c r="J79" s="89"/>
    </row>
    <row r="80" spans="1:10" s="54" customFormat="1" ht="14.1" customHeight="1" x14ac:dyDescent="0.2">
      <c r="A80" s="60" t="s">
        <v>665</v>
      </c>
      <c r="B80" s="70" t="s">
        <v>4146</v>
      </c>
      <c r="C80" s="81" t="s">
        <v>13</v>
      </c>
      <c r="D80" s="84" t="s">
        <v>4111</v>
      </c>
      <c r="E80" s="84" t="s">
        <v>11</v>
      </c>
      <c r="F80" s="72" t="s">
        <v>4112</v>
      </c>
      <c r="G80" s="72" t="s">
        <v>4113</v>
      </c>
      <c r="H80" s="73" t="s">
        <v>4001</v>
      </c>
      <c r="I80" s="64" t="s">
        <v>4505</v>
      </c>
      <c r="J80" s="69"/>
    </row>
    <row r="81" spans="1:10" s="54" customFormat="1" ht="14.1" customHeight="1" x14ac:dyDescent="0.2">
      <c r="A81" s="74" t="s">
        <v>4253</v>
      </c>
      <c r="B81" s="45" t="s">
        <v>4146</v>
      </c>
      <c r="C81" s="45" t="s">
        <v>13</v>
      </c>
      <c r="D81" s="50" t="s">
        <v>4254</v>
      </c>
      <c r="E81" s="50" t="s">
        <v>11</v>
      </c>
      <c r="F81" s="45" t="s">
        <v>4112</v>
      </c>
      <c r="G81" s="45"/>
      <c r="H81" s="45" t="s">
        <v>4153</v>
      </c>
      <c r="I81" s="50" t="s">
        <v>4505</v>
      </c>
      <c r="J81" s="88"/>
    </row>
    <row r="82" spans="1:10" s="54" customFormat="1" ht="14.1" customHeight="1" x14ac:dyDescent="0.2">
      <c r="A82" s="74" t="s">
        <v>4164</v>
      </c>
      <c r="B82" s="45" t="s">
        <v>4165</v>
      </c>
      <c r="C82" s="45" t="s">
        <v>13</v>
      </c>
      <c r="D82" s="50" t="s">
        <v>4158</v>
      </c>
      <c r="E82" s="50" t="s">
        <v>4034</v>
      </c>
      <c r="F82" s="45" t="s">
        <v>4422</v>
      </c>
      <c r="G82" s="45"/>
      <c r="H82" s="45" t="s">
        <v>4153</v>
      </c>
      <c r="I82" s="50" t="s">
        <v>4481</v>
      </c>
      <c r="J82" s="89"/>
    </row>
    <row r="83" spans="1:10" s="54" customFormat="1" ht="14.1" customHeight="1" x14ac:dyDescent="0.2">
      <c r="A83" s="74" t="s">
        <v>4244</v>
      </c>
      <c r="B83" s="45" t="s">
        <v>4237</v>
      </c>
      <c r="C83" s="45" t="s">
        <v>13</v>
      </c>
      <c r="D83" s="50" t="s">
        <v>4246</v>
      </c>
      <c r="E83" s="50" t="s">
        <v>4034</v>
      </c>
      <c r="F83" s="45" t="s">
        <v>4239</v>
      </c>
      <c r="G83" s="45" t="s">
        <v>4245</v>
      </c>
      <c r="H83" s="45" t="s">
        <v>4153</v>
      </c>
      <c r="I83" s="50" t="s">
        <v>4481</v>
      </c>
      <c r="J83" s="75"/>
    </row>
    <row r="84" spans="1:10" s="54" customFormat="1" ht="14.1" customHeight="1" x14ac:dyDescent="0.2">
      <c r="A84" s="74" t="s">
        <v>4235</v>
      </c>
      <c r="B84" s="45" t="s">
        <v>4237</v>
      </c>
      <c r="C84" s="45" t="s">
        <v>13</v>
      </c>
      <c r="D84" s="50" t="s">
        <v>4238</v>
      </c>
      <c r="E84" s="50" t="s">
        <v>11</v>
      </c>
      <c r="F84" s="45" t="s">
        <v>4239</v>
      </c>
      <c r="G84" s="45" t="s">
        <v>4236</v>
      </c>
      <c r="H84" s="45" t="s">
        <v>4153</v>
      </c>
      <c r="I84" s="50" t="s">
        <v>4481</v>
      </c>
      <c r="J84" s="88"/>
    </row>
    <row r="85" spans="1:10" s="54" customFormat="1" ht="14.1" customHeight="1" x14ac:dyDescent="0.2">
      <c r="A85" s="74" t="s">
        <v>4240</v>
      </c>
      <c r="B85" s="45" t="s">
        <v>4237</v>
      </c>
      <c r="C85" s="45" t="s">
        <v>13</v>
      </c>
      <c r="D85" s="50" t="s">
        <v>4241</v>
      </c>
      <c r="E85" s="50" t="s">
        <v>11</v>
      </c>
      <c r="F85" s="45" t="s">
        <v>4243</v>
      </c>
      <c r="G85" s="45" t="s">
        <v>4242</v>
      </c>
      <c r="H85" s="45" t="s">
        <v>4153</v>
      </c>
      <c r="I85" s="50" t="s">
        <v>4505</v>
      </c>
      <c r="J85" s="69"/>
    </row>
    <row r="86" spans="1:10" s="54" customFormat="1" ht="14.1" customHeight="1" x14ac:dyDescent="0.2">
      <c r="A86" s="74" t="s">
        <v>4315</v>
      </c>
      <c r="B86" s="45" t="s">
        <v>4093</v>
      </c>
      <c r="C86" s="49">
        <v>11000</v>
      </c>
      <c r="D86" s="50" t="s">
        <v>4179</v>
      </c>
      <c r="E86" s="50"/>
      <c r="F86" s="45" t="s">
        <v>4424</v>
      </c>
      <c r="G86" s="45" t="s">
        <v>4425</v>
      </c>
      <c r="H86" s="45" t="s">
        <v>4021</v>
      </c>
      <c r="I86" s="50" t="s">
        <v>4481</v>
      </c>
      <c r="J86" s="89"/>
    </row>
    <row r="87" spans="1:10" s="54" customFormat="1" ht="14.1" customHeight="1" x14ac:dyDescent="0.2">
      <c r="A87" s="60" t="s">
        <v>3404</v>
      </c>
      <c r="B87" s="70" t="s">
        <v>4093</v>
      </c>
      <c r="C87" s="81" t="s">
        <v>13</v>
      </c>
      <c r="D87" s="84" t="s">
        <v>4089</v>
      </c>
      <c r="E87" s="84" t="s">
        <v>4069</v>
      </c>
      <c r="F87" s="72" t="s">
        <v>4092</v>
      </c>
      <c r="G87" s="72"/>
      <c r="H87" s="73" t="s">
        <v>4001</v>
      </c>
      <c r="I87" s="64" t="s">
        <v>4481</v>
      </c>
      <c r="J87" s="75"/>
    </row>
    <row r="88" spans="1:10" s="54" customFormat="1" ht="14.1" customHeight="1" x14ac:dyDescent="0.2">
      <c r="A88" s="60" t="s">
        <v>871</v>
      </c>
      <c r="B88" s="70" t="s">
        <v>4093</v>
      </c>
      <c r="C88" s="81" t="s">
        <v>13</v>
      </c>
      <c r="D88" s="84" t="s">
        <v>4116</v>
      </c>
      <c r="E88" s="84" t="s">
        <v>11</v>
      </c>
      <c r="F88" s="72" t="s">
        <v>4117</v>
      </c>
      <c r="G88" s="72" t="s">
        <v>874</v>
      </c>
      <c r="H88" s="73" t="s">
        <v>4001</v>
      </c>
      <c r="I88" s="64" t="s">
        <v>4505</v>
      </c>
      <c r="J88" s="88"/>
    </row>
    <row r="89" spans="1:10" s="54" customFormat="1" ht="14.1" customHeight="1" x14ac:dyDescent="0.2">
      <c r="A89" s="74" t="s">
        <v>4203</v>
      </c>
      <c r="B89" s="45" t="s">
        <v>1284</v>
      </c>
      <c r="C89" s="45" t="s">
        <v>13</v>
      </c>
      <c r="D89" s="50" t="s">
        <v>4158</v>
      </c>
      <c r="E89" s="50" t="s">
        <v>4005</v>
      </c>
      <c r="F89" s="45" t="s">
        <v>4517</v>
      </c>
      <c r="G89" s="45" t="s">
        <v>3629</v>
      </c>
      <c r="H89" s="45" t="s">
        <v>4153</v>
      </c>
      <c r="I89" s="50" t="s">
        <v>4481</v>
      </c>
      <c r="J89" s="89"/>
    </row>
    <row r="90" spans="1:10" s="54" customFormat="1" ht="14.1" customHeight="1" x14ac:dyDescent="0.2">
      <c r="A90" s="60" t="s">
        <v>445</v>
      </c>
      <c r="B90" s="70" t="s">
        <v>4144</v>
      </c>
      <c r="C90" s="81" t="s">
        <v>13</v>
      </c>
      <c r="D90" s="84" t="s">
        <v>4107</v>
      </c>
      <c r="E90" s="84" t="s">
        <v>11</v>
      </c>
      <c r="F90" s="72" t="s">
        <v>4109</v>
      </c>
      <c r="G90" s="72"/>
      <c r="H90" s="73" t="s">
        <v>4001</v>
      </c>
      <c r="I90" s="64" t="s">
        <v>4505</v>
      </c>
      <c r="J90" s="88"/>
    </row>
    <row r="91" spans="1:10" s="54" customFormat="1" ht="14.1" customHeight="1" x14ac:dyDescent="0.2">
      <c r="A91" s="74" t="s">
        <v>4350</v>
      </c>
      <c r="B91" s="45" t="s">
        <v>4144</v>
      </c>
      <c r="C91" s="45" t="s">
        <v>13</v>
      </c>
      <c r="D91" s="50" t="s">
        <v>4158</v>
      </c>
      <c r="E91" s="50"/>
      <c r="F91" s="45" t="s">
        <v>4353</v>
      </c>
      <c r="G91" s="45" t="s">
        <v>4354</v>
      </c>
      <c r="H91" s="45" t="s">
        <v>4021</v>
      </c>
      <c r="I91" s="50" t="s">
        <v>4481</v>
      </c>
      <c r="J91" s="89"/>
    </row>
    <row r="92" spans="1:10" s="54" customFormat="1" ht="14.1" customHeight="1" x14ac:dyDescent="0.2">
      <c r="A92" s="74" t="s">
        <v>4290</v>
      </c>
      <c r="B92" s="45" t="s">
        <v>4289</v>
      </c>
      <c r="C92" s="49">
        <v>1000</v>
      </c>
      <c r="D92" s="50" t="s">
        <v>4158</v>
      </c>
      <c r="E92" s="50" t="s">
        <v>4069</v>
      </c>
      <c r="F92" s="45"/>
      <c r="G92" s="45" t="s">
        <v>570</v>
      </c>
      <c r="H92" s="45" t="s">
        <v>4153</v>
      </c>
      <c r="I92" s="50" t="s">
        <v>4481</v>
      </c>
      <c r="J92" s="89"/>
    </row>
    <row r="93" spans="1:10" s="54" customFormat="1" ht="14.1" customHeight="1" x14ac:dyDescent="0.2">
      <c r="A93" s="74" t="s">
        <v>4288</v>
      </c>
      <c r="B93" s="45" t="s">
        <v>4289</v>
      </c>
      <c r="C93" s="49">
        <v>4000</v>
      </c>
      <c r="D93" s="50" t="s">
        <v>4158</v>
      </c>
      <c r="E93" s="50"/>
      <c r="F93" s="45"/>
      <c r="G93" s="45"/>
      <c r="H93" s="45" t="s">
        <v>4153</v>
      </c>
      <c r="I93" s="50" t="s">
        <v>4481</v>
      </c>
      <c r="J93" s="88"/>
    </row>
    <row r="94" spans="1:10" s="54" customFormat="1" ht="14.1" customHeight="1" x14ac:dyDescent="0.2">
      <c r="A94" s="60" t="s">
        <v>3803</v>
      </c>
      <c r="B94" s="70" t="s">
        <v>993</v>
      </c>
      <c r="C94" s="81" t="s">
        <v>13</v>
      </c>
      <c r="D94" s="84" t="s">
        <v>4047</v>
      </c>
      <c r="E94" s="84" t="s">
        <v>4005</v>
      </c>
      <c r="F94" s="72" t="s">
        <v>4049</v>
      </c>
      <c r="G94" s="72" t="s">
        <v>3311</v>
      </c>
      <c r="H94" s="73" t="s">
        <v>4001</v>
      </c>
      <c r="I94" s="64" t="s">
        <v>4481</v>
      </c>
      <c r="J94" s="88"/>
    </row>
    <row r="95" spans="1:10" s="54" customFormat="1" ht="14.1" customHeight="1" x14ac:dyDescent="0.2">
      <c r="A95" s="60" t="s">
        <v>3308</v>
      </c>
      <c r="B95" s="70" t="s">
        <v>993</v>
      </c>
      <c r="C95" s="81" t="s">
        <v>13</v>
      </c>
      <c r="D95" s="84" t="s">
        <v>4084</v>
      </c>
      <c r="E95" s="84" t="s">
        <v>4069</v>
      </c>
      <c r="F95" s="72" t="s">
        <v>4049</v>
      </c>
      <c r="G95" s="72" t="s">
        <v>3311</v>
      </c>
      <c r="H95" s="73" t="s">
        <v>4001</v>
      </c>
      <c r="I95" s="64" t="s">
        <v>4506</v>
      </c>
      <c r="J95" s="75"/>
    </row>
    <row r="96" spans="1:10" s="54" customFormat="1" ht="14.1" customHeight="1" x14ac:dyDescent="0.2">
      <c r="A96" s="60" t="s">
        <v>4139</v>
      </c>
      <c r="B96" s="70" t="s">
        <v>993</v>
      </c>
      <c r="C96" s="81" t="s">
        <v>13</v>
      </c>
      <c r="D96" s="84" t="s">
        <v>4137</v>
      </c>
      <c r="E96" s="84" t="s">
        <v>11</v>
      </c>
      <c r="F96" s="72" t="s">
        <v>4140</v>
      </c>
      <c r="G96" s="72" t="s">
        <v>3900</v>
      </c>
      <c r="H96" s="73" t="s">
        <v>4001</v>
      </c>
      <c r="I96" s="64" t="s">
        <v>4505</v>
      </c>
      <c r="J96" s="88"/>
    </row>
    <row r="97" spans="1:10" s="54" customFormat="1" ht="14.1" customHeight="1" x14ac:dyDescent="0.2">
      <c r="A97" s="60" t="s">
        <v>3771</v>
      </c>
      <c r="B97" s="70" t="s">
        <v>4060</v>
      </c>
      <c r="C97" s="83">
        <v>1500</v>
      </c>
      <c r="D97" s="84" t="s">
        <v>4061</v>
      </c>
      <c r="E97" s="84" t="s">
        <v>4006</v>
      </c>
      <c r="F97" s="72" t="s">
        <v>4062</v>
      </c>
      <c r="G97" s="72"/>
      <c r="H97" s="73" t="s">
        <v>4001</v>
      </c>
      <c r="I97" s="64" t="s">
        <v>4481</v>
      </c>
      <c r="J97" s="88"/>
    </row>
    <row r="98" spans="1:10" s="54" customFormat="1" ht="14.1" customHeight="1" x14ac:dyDescent="0.2">
      <c r="A98" s="74" t="s">
        <v>4348</v>
      </c>
      <c r="B98" s="45" t="s">
        <v>4279</v>
      </c>
      <c r="C98" s="49">
        <v>12000</v>
      </c>
      <c r="D98" s="50" t="s">
        <v>4179</v>
      </c>
      <c r="E98" s="50" t="s">
        <v>4017</v>
      </c>
      <c r="F98" s="45" t="s">
        <v>4358</v>
      </c>
      <c r="G98" s="45" t="s">
        <v>1099</v>
      </c>
      <c r="H98" s="45" t="s">
        <v>4021</v>
      </c>
      <c r="I98" s="50" t="s">
        <v>4481</v>
      </c>
      <c r="J98" s="89"/>
    </row>
    <row r="99" spans="1:10" s="54" customFormat="1" ht="14.1" customHeight="1" x14ac:dyDescent="0.2">
      <c r="A99" s="74" t="s">
        <v>1097</v>
      </c>
      <c r="B99" s="45" t="s">
        <v>4279</v>
      </c>
      <c r="C99" s="45" t="s">
        <v>13</v>
      </c>
      <c r="D99" s="50" t="s">
        <v>4278</v>
      </c>
      <c r="E99" s="50"/>
      <c r="F99" s="45"/>
      <c r="G99" s="45"/>
      <c r="H99" s="45" t="s">
        <v>4153</v>
      </c>
      <c r="I99" s="50" t="s">
        <v>4505</v>
      </c>
      <c r="J99" s="75"/>
    </row>
    <row r="100" spans="1:10" s="54" customFormat="1" ht="14.1" customHeight="1" x14ac:dyDescent="0.2">
      <c r="A100" s="74" t="s">
        <v>4347</v>
      </c>
      <c r="B100" s="45" t="s">
        <v>636</v>
      </c>
      <c r="C100" s="45" t="s">
        <v>13</v>
      </c>
      <c r="D100" s="50" t="s">
        <v>4158</v>
      </c>
      <c r="E100" s="50" t="s">
        <v>4005</v>
      </c>
      <c r="F100" s="45" t="s">
        <v>4360</v>
      </c>
      <c r="G100" s="45" t="s">
        <v>4361</v>
      </c>
      <c r="H100" s="45" t="s">
        <v>4021</v>
      </c>
      <c r="I100" s="50" t="s">
        <v>4481</v>
      </c>
      <c r="J100" s="89"/>
    </row>
    <row r="101" spans="1:10" s="54" customFormat="1" ht="14.1" customHeight="1" x14ac:dyDescent="0.2">
      <c r="A101" s="74" t="s">
        <v>4195</v>
      </c>
      <c r="B101" s="45" t="s">
        <v>4030</v>
      </c>
      <c r="C101" s="45" t="s">
        <v>13</v>
      </c>
      <c r="D101" s="50" t="s">
        <v>4518</v>
      </c>
      <c r="E101" s="50" t="s">
        <v>4004</v>
      </c>
      <c r="F101" s="45" t="s">
        <v>4020</v>
      </c>
      <c r="G101" s="45" t="s">
        <v>3629</v>
      </c>
      <c r="H101" s="45" t="s">
        <v>4153</v>
      </c>
      <c r="I101" s="50" t="s">
        <v>4481</v>
      </c>
      <c r="J101" s="89"/>
    </row>
    <row r="102" spans="1:10" s="54" customFormat="1" ht="14.1" customHeight="1" x14ac:dyDescent="0.2">
      <c r="A102" s="48" t="s">
        <v>1708</v>
      </c>
      <c r="B102" s="44" t="s">
        <v>4030</v>
      </c>
      <c r="C102" s="45" t="s">
        <v>13</v>
      </c>
      <c r="D102" s="50" t="s">
        <v>4019</v>
      </c>
      <c r="E102" s="50" t="s">
        <v>4017</v>
      </c>
      <c r="F102" s="45" t="s">
        <v>4020</v>
      </c>
      <c r="G102" s="45"/>
      <c r="H102" s="45" t="s">
        <v>4001</v>
      </c>
      <c r="I102" s="50" t="s">
        <v>4505</v>
      </c>
      <c r="J102" s="75"/>
    </row>
    <row r="103" spans="1:10" s="53" customFormat="1" ht="14.1" customHeight="1" x14ac:dyDescent="0.2">
      <c r="A103" s="56" t="s">
        <v>4197</v>
      </c>
      <c r="B103" s="46" t="s">
        <v>4030</v>
      </c>
      <c r="C103" s="46" t="s">
        <v>13</v>
      </c>
      <c r="D103" s="47"/>
      <c r="E103" s="47"/>
      <c r="F103" s="46"/>
      <c r="G103" s="46"/>
      <c r="H103" s="46" t="s">
        <v>4153</v>
      </c>
      <c r="I103" s="47" t="s">
        <v>4507</v>
      </c>
      <c r="J103" s="88"/>
    </row>
    <row r="104" spans="1:10" s="54" customFormat="1" ht="14.1" customHeight="1" x14ac:dyDescent="0.2">
      <c r="A104" s="74" t="s">
        <v>4196</v>
      </c>
      <c r="B104" s="45" t="s">
        <v>4030</v>
      </c>
      <c r="C104" s="45" t="s">
        <v>13</v>
      </c>
      <c r="D104" s="50" t="s">
        <v>4515</v>
      </c>
      <c r="E104" s="50"/>
      <c r="F104" s="45"/>
      <c r="G104" s="45"/>
      <c r="H104" s="45" t="s">
        <v>4153</v>
      </c>
      <c r="I104" s="50" t="s">
        <v>4506</v>
      </c>
      <c r="J104" s="88"/>
    </row>
    <row r="105" spans="1:10" s="54" customFormat="1" ht="14.1" customHeight="1" x14ac:dyDescent="0.2">
      <c r="A105" s="74" t="s">
        <v>4174</v>
      </c>
      <c r="B105" s="45" t="s">
        <v>3350</v>
      </c>
      <c r="C105" s="45" t="s">
        <v>13</v>
      </c>
      <c r="D105" s="50" t="s">
        <v>4177</v>
      </c>
      <c r="E105" s="50" t="s">
        <v>4006</v>
      </c>
      <c r="F105" s="45" t="s">
        <v>4365</v>
      </c>
      <c r="G105" s="45"/>
      <c r="H105" s="45" t="s">
        <v>4153</v>
      </c>
      <c r="I105" s="50" t="s">
        <v>4481</v>
      </c>
      <c r="J105" s="88"/>
    </row>
    <row r="106" spans="1:10" s="54" customFormat="1" ht="14.1" customHeight="1" x14ac:dyDescent="0.2">
      <c r="A106" s="74" t="s">
        <v>4519</v>
      </c>
      <c r="B106" s="45" t="s">
        <v>3350</v>
      </c>
      <c r="C106" s="45" t="s">
        <v>13</v>
      </c>
      <c r="D106" s="50" t="s">
        <v>4179</v>
      </c>
      <c r="E106" s="50" t="s">
        <v>4069</v>
      </c>
      <c r="F106" s="45" t="s">
        <v>4520</v>
      </c>
      <c r="G106" s="45"/>
      <c r="H106" s="45" t="s">
        <v>4153</v>
      </c>
      <c r="I106" s="50" t="s">
        <v>4481</v>
      </c>
      <c r="J106" s="88"/>
    </row>
    <row r="107" spans="1:10" s="54" customFormat="1" ht="14.1" customHeight="1" x14ac:dyDescent="0.2">
      <c r="A107" s="60" t="s">
        <v>3346</v>
      </c>
      <c r="B107" s="70" t="s">
        <v>3350</v>
      </c>
      <c r="C107" s="81" t="s">
        <v>13</v>
      </c>
      <c r="D107" s="84" t="s">
        <v>4086</v>
      </c>
      <c r="E107" s="84" t="s">
        <v>4069</v>
      </c>
      <c r="F107" s="72" t="s">
        <v>4087</v>
      </c>
      <c r="G107" s="72" t="s">
        <v>3349</v>
      </c>
      <c r="H107" s="73" t="s">
        <v>4001</v>
      </c>
      <c r="I107" s="64" t="s">
        <v>4506</v>
      </c>
      <c r="J107" s="88"/>
    </row>
    <row r="108" spans="1:10" s="54" customFormat="1" ht="14.1" customHeight="1" x14ac:dyDescent="0.2">
      <c r="A108" s="74" t="s">
        <v>4166</v>
      </c>
      <c r="B108" s="45" t="s">
        <v>3350</v>
      </c>
      <c r="C108" s="45" t="s">
        <v>13</v>
      </c>
      <c r="D108" s="50" t="s">
        <v>4167</v>
      </c>
      <c r="E108" s="50"/>
      <c r="F108" s="45"/>
      <c r="G108" s="45"/>
      <c r="H108" s="45" t="s">
        <v>4153</v>
      </c>
      <c r="I108" s="50" t="s">
        <v>4481</v>
      </c>
      <c r="J108" s="75"/>
    </row>
    <row r="109" spans="1:10" s="54" customFormat="1" ht="14.1" customHeight="1" x14ac:dyDescent="0.2">
      <c r="A109" s="74" t="s">
        <v>3553</v>
      </c>
      <c r="B109" s="45" t="s">
        <v>3350</v>
      </c>
      <c r="C109" s="45" t="s">
        <v>13</v>
      </c>
      <c r="D109" s="50" t="s">
        <v>4158</v>
      </c>
      <c r="E109" s="50"/>
      <c r="F109" s="45" t="s">
        <v>4168</v>
      </c>
      <c r="G109" s="45"/>
      <c r="H109" s="45" t="s">
        <v>4153</v>
      </c>
      <c r="I109" s="50" t="s">
        <v>4481</v>
      </c>
      <c r="J109" s="88"/>
    </row>
    <row r="110" spans="1:10" s="54" customFormat="1" ht="14.1" customHeight="1" x14ac:dyDescent="0.2">
      <c r="A110" s="74" t="s">
        <v>4171</v>
      </c>
      <c r="B110" s="45" t="s">
        <v>3350</v>
      </c>
      <c r="C110" s="45" t="s">
        <v>13</v>
      </c>
      <c r="D110" s="50" t="s">
        <v>4172</v>
      </c>
      <c r="E110" s="50"/>
      <c r="F110" s="45" t="s">
        <v>4173</v>
      </c>
      <c r="G110" s="45"/>
      <c r="H110" s="45" t="s">
        <v>4153</v>
      </c>
      <c r="I110" s="50" t="s">
        <v>4505</v>
      </c>
      <c r="J110" s="88"/>
    </row>
    <row r="111" spans="1:10" s="54" customFormat="1" ht="14.1" customHeight="1" x14ac:dyDescent="0.2">
      <c r="A111" s="74" t="s">
        <v>4169</v>
      </c>
      <c r="B111" s="45" t="s">
        <v>3350</v>
      </c>
      <c r="C111" s="45" t="s">
        <v>13</v>
      </c>
      <c r="D111" s="50" t="s">
        <v>4210</v>
      </c>
      <c r="E111" s="50"/>
      <c r="F111" s="45" t="s">
        <v>4170</v>
      </c>
      <c r="G111" s="45"/>
      <c r="H111" s="45" t="s">
        <v>4153</v>
      </c>
      <c r="I111" s="50" t="s">
        <v>4505</v>
      </c>
      <c r="J111" s="88"/>
    </row>
    <row r="112" spans="1:10" s="54" customFormat="1" ht="14.1" customHeight="1" x14ac:dyDescent="0.2">
      <c r="A112" s="74" t="s">
        <v>4342</v>
      </c>
      <c r="B112" s="45" t="s">
        <v>4343</v>
      </c>
      <c r="C112" s="45" t="s">
        <v>13</v>
      </c>
      <c r="D112" s="50" t="s">
        <v>4158</v>
      </c>
      <c r="E112" s="50"/>
      <c r="F112" s="45" t="s">
        <v>4366</v>
      </c>
      <c r="G112" s="45"/>
      <c r="H112" s="45" t="s">
        <v>4021</v>
      </c>
      <c r="I112" s="50" t="s">
        <v>4481</v>
      </c>
      <c r="J112" s="69"/>
    </row>
    <row r="113" spans="1:10" s="54" customFormat="1" ht="14.1" customHeight="1" x14ac:dyDescent="0.2">
      <c r="A113" s="48" t="s">
        <v>3036</v>
      </c>
      <c r="B113" s="45" t="s">
        <v>530</v>
      </c>
      <c r="C113" s="45" t="s">
        <v>13</v>
      </c>
      <c r="D113" s="50" t="s">
        <v>4022</v>
      </c>
      <c r="E113" s="50" t="s">
        <v>4017</v>
      </c>
      <c r="F113" s="45" t="s">
        <v>4023</v>
      </c>
      <c r="G113" s="45"/>
      <c r="H113" s="45" t="s">
        <v>4001</v>
      </c>
      <c r="I113" s="50" t="s">
        <v>4506</v>
      </c>
      <c r="J113" s="88"/>
    </row>
    <row r="114" spans="1:10" s="54" customFormat="1" ht="14.1" customHeight="1" x14ac:dyDescent="0.2">
      <c r="A114" s="60" t="s">
        <v>923</v>
      </c>
      <c r="B114" s="70" t="s">
        <v>530</v>
      </c>
      <c r="C114" s="81" t="s">
        <v>13</v>
      </c>
      <c r="D114" s="84" t="s">
        <v>4073</v>
      </c>
      <c r="E114" s="84" t="s">
        <v>4069</v>
      </c>
      <c r="F114" s="72" t="s">
        <v>4077</v>
      </c>
      <c r="G114" s="72" t="s">
        <v>926</v>
      </c>
      <c r="H114" s="73" t="s">
        <v>4001</v>
      </c>
      <c r="I114" s="64" t="s">
        <v>4505</v>
      </c>
      <c r="J114" s="75"/>
    </row>
    <row r="115" spans="1:10" s="54" customFormat="1" ht="14.1" customHeight="1" x14ac:dyDescent="0.2">
      <c r="A115" s="60" t="s">
        <v>3965</v>
      </c>
      <c r="B115" s="70" t="s">
        <v>530</v>
      </c>
      <c r="C115" s="81" t="s">
        <v>13</v>
      </c>
      <c r="D115" s="84" t="s">
        <v>4142</v>
      </c>
      <c r="E115" s="84" t="s">
        <v>11</v>
      </c>
      <c r="F115" s="72" t="s">
        <v>4143</v>
      </c>
      <c r="G115" s="72" t="s">
        <v>3968</v>
      </c>
      <c r="H115" s="73" t="s">
        <v>4001</v>
      </c>
      <c r="I115" s="64" t="s">
        <v>4505</v>
      </c>
      <c r="J115" s="89"/>
    </row>
    <row r="116" spans="1:10" s="54" customFormat="1" ht="14.1" customHeight="1" x14ac:dyDescent="0.2">
      <c r="A116" s="74" t="s">
        <v>4274</v>
      </c>
      <c r="B116" s="45" t="s">
        <v>530</v>
      </c>
      <c r="C116" s="45" t="s">
        <v>13</v>
      </c>
      <c r="D116" s="50" t="s">
        <v>4275</v>
      </c>
      <c r="E116" s="50"/>
      <c r="F116" s="45"/>
      <c r="G116" s="45"/>
      <c r="H116" s="45" t="s">
        <v>4153</v>
      </c>
      <c r="I116" s="50" t="s">
        <v>4505</v>
      </c>
      <c r="J116" s="75"/>
    </row>
    <row r="117" spans="1:10" s="54" customFormat="1" ht="14.1" customHeight="1" x14ac:dyDescent="0.2">
      <c r="A117" s="74" t="s">
        <v>4338</v>
      </c>
      <c r="B117" s="45" t="s">
        <v>4339</v>
      </c>
      <c r="C117" s="45" t="s">
        <v>13</v>
      </c>
      <c r="D117" s="50" t="s">
        <v>4371</v>
      </c>
      <c r="E117" s="50" t="s">
        <v>4005</v>
      </c>
      <c r="F117" s="45" t="s">
        <v>4369</v>
      </c>
      <c r="G117" s="45" t="s">
        <v>4370</v>
      </c>
      <c r="H117" s="45" t="s">
        <v>4021</v>
      </c>
      <c r="I117" s="50" t="s">
        <v>4481</v>
      </c>
      <c r="J117" s="88"/>
    </row>
    <row r="118" spans="1:10" s="54" customFormat="1" ht="14.1" customHeight="1" x14ac:dyDescent="0.2">
      <c r="A118" s="60" t="s">
        <v>3833</v>
      </c>
      <c r="B118" s="70" t="s">
        <v>4148</v>
      </c>
      <c r="C118" s="81" t="s">
        <v>13</v>
      </c>
      <c r="D118" s="84" t="s">
        <v>4131</v>
      </c>
      <c r="E118" s="84" t="s">
        <v>11</v>
      </c>
      <c r="F118" s="72" t="s">
        <v>4132</v>
      </c>
      <c r="G118" s="72" t="s">
        <v>4133</v>
      </c>
      <c r="H118" s="73" t="s">
        <v>4001</v>
      </c>
      <c r="I118" s="64" t="s">
        <v>4481</v>
      </c>
      <c r="J118" s="88"/>
    </row>
    <row r="119" spans="1:10" s="54" customFormat="1" ht="14.1" customHeight="1" x14ac:dyDescent="0.2">
      <c r="A119" s="74" t="s">
        <v>3833</v>
      </c>
      <c r="B119" s="45" t="s">
        <v>4148</v>
      </c>
      <c r="C119" s="45" t="s">
        <v>13</v>
      </c>
      <c r="D119" s="50" t="s">
        <v>4298</v>
      </c>
      <c r="E119" s="50"/>
      <c r="F119" s="45" t="s">
        <v>4132</v>
      </c>
      <c r="G119" s="45"/>
      <c r="H119" s="45" t="s">
        <v>4153</v>
      </c>
      <c r="I119" s="50" t="s">
        <v>4481</v>
      </c>
      <c r="J119" s="89"/>
    </row>
    <row r="120" spans="1:10" s="54" customFormat="1" ht="14.1" customHeight="1" x14ac:dyDescent="0.2">
      <c r="A120" s="74" t="s">
        <v>4299</v>
      </c>
      <c r="B120" s="45" t="s">
        <v>4148</v>
      </c>
      <c r="C120" s="45" t="s">
        <v>13</v>
      </c>
      <c r="D120" s="50" t="s">
        <v>4301</v>
      </c>
      <c r="E120" s="50"/>
      <c r="F120" s="45"/>
      <c r="G120" s="45" t="s">
        <v>4300</v>
      </c>
      <c r="H120" s="45" t="s">
        <v>4153</v>
      </c>
      <c r="I120" s="50" t="s">
        <v>4505</v>
      </c>
      <c r="J120" s="88"/>
    </row>
    <row r="121" spans="1:10" s="54" customFormat="1" ht="14.1" customHeight="1" x14ac:dyDescent="0.2">
      <c r="A121" s="74" t="s">
        <v>4302</v>
      </c>
      <c r="B121" s="45" t="s">
        <v>4303</v>
      </c>
      <c r="C121" s="49">
        <v>1400</v>
      </c>
      <c r="D121" s="50" t="s">
        <v>4374</v>
      </c>
      <c r="E121" s="50" t="s">
        <v>4028</v>
      </c>
      <c r="F121" s="45" t="s">
        <v>4372</v>
      </c>
      <c r="G121" s="45" t="s">
        <v>4373</v>
      </c>
      <c r="H121" s="45" t="s">
        <v>4153</v>
      </c>
      <c r="I121" s="50" t="s">
        <v>4481</v>
      </c>
      <c r="J121" s="89"/>
    </row>
    <row r="122" spans="1:10" s="54" customFormat="1" ht="14.1" customHeight="1" x14ac:dyDescent="0.2">
      <c r="A122" s="74" t="s">
        <v>4431</v>
      </c>
      <c r="B122" s="45" t="s">
        <v>26</v>
      </c>
      <c r="C122" s="49">
        <v>55000</v>
      </c>
      <c r="D122" s="50" t="s">
        <v>4439</v>
      </c>
      <c r="E122" s="50" t="s">
        <v>4017</v>
      </c>
      <c r="F122" s="45" t="s">
        <v>4108</v>
      </c>
      <c r="G122" s="45" t="s">
        <v>4440</v>
      </c>
      <c r="H122" s="45" t="s">
        <v>4021</v>
      </c>
      <c r="I122" s="50" t="s">
        <v>4481</v>
      </c>
      <c r="J122" s="75"/>
    </row>
    <row r="123" spans="1:10" s="54" customFormat="1" ht="14.1" customHeight="1" x14ac:dyDescent="0.2">
      <c r="A123" s="48" t="s">
        <v>2</v>
      </c>
      <c r="B123" s="44" t="s">
        <v>26</v>
      </c>
      <c r="C123" s="49">
        <v>75000</v>
      </c>
      <c r="D123" s="50" t="s">
        <v>4436</v>
      </c>
      <c r="E123" s="50" t="s">
        <v>4004</v>
      </c>
      <c r="F123" s="45" t="s">
        <v>3</v>
      </c>
      <c r="G123" s="45"/>
      <c r="H123" s="44" t="s">
        <v>4021</v>
      </c>
      <c r="I123" s="50" t="s">
        <v>4505</v>
      </c>
      <c r="J123" s="89"/>
    </row>
    <row r="124" spans="1:10" s="54" customFormat="1" ht="14.1" customHeight="1" x14ac:dyDescent="0.2">
      <c r="A124" s="74" t="s">
        <v>4188</v>
      </c>
      <c r="B124" s="45" t="s">
        <v>26</v>
      </c>
      <c r="C124" s="45" t="s">
        <v>13</v>
      </c>
      <c r="D124" s="50" t="s">
        <v>4158</v>
      </c>
      <c r="E124" s="50" t="s">
        <v>4069</v>
      </c>
      <c r="F124" s="45" t="s">
        <v>3</v>
      </c>
      <c r="G124" s="45"/>
      <c r="H124" s="45" t="s">
        <v>4153</v>
      </c>
      <c r="I124" s="50" t="s">
        <v>4481</v>
      </c>
      <c r="J124" s="88"/>
    </row>
    <row r="125" spans="1:10" s="54" customFormat="1" ht="14.1" customHeight="1" x14ac:dyDescent="0.2">
      <c r="A125" s="60" t="s">
        <v>436</v>
      </c>
      <c r="B125" s="70" t="s">
        <v>26</v>
      </c>
      <c r="C125" s="81" t="s">
        <v>13</v>
      </c>
      <c r="D125" s="84" t="s">
        <v>4107</v>
      </c>
      <c r="E125" s="84" t="s">
        <v>11</v>
      </c>
      <c r="F125" s="72" t="s">
        <v>4108</v>
      </c>
      <c r="G125" s="72" t="s">
        <v>439</v>
      </c>
      <c r="H125" s="73" t="s">
        <v>4001</v>
      </c>
      <c r="I125" s="64" t="s">
        <v>4505</v>
      </c>
      <c r="J125" s="88"/>
    </row>
    <row r="126" spans="1:10" s="54" customFormat="1" ht="14.1" customHeight="1" x14ac:dyDescent="0.2">
      <c r="A126" s="74" t="s">
        <v>4281</v>
      </c>
      <c r="B126" s="45" t="s">
        <v>4280</v>
      </c>
      <c r="C126" s="45" t="s">
        <v>13</v>
      </c>
      <c r="D126" s="50" t="s">
        <v>4184</v>
      </c>
      <c r="E126" s="50" t="s">
        <v>4028</v>
      </c>
      <c r="F126" s="45" t="s">
        <v>4377</v>
      </c>
      <c r="G126" s="45" t="s">
        <v>4378</v>
      </c>
      <c r="H126" s="45" t="s">
        <v>4153</v>
      </c>
      <c r="I126" s="50" t="s">
        <v>4481</v>
      </c>
      <c r="J126" s="88"/>
    </row>
    <row r="127" spans="1:10" s="54" customFormat="1" ht="14.1" customHeight="1" x14ac:dyDescent="0.2">
      <c r="A127" s="74" t="s">
        <v>4155</v>
      </c>
      <c r="B127" s="45" t="s">
        <v>4156</v>
      </c>
      <c r="C127" s="45" t="s">
        <v>13</v>
      </c>
      <c r="D127" s="50" t="s">
        <v>4158</v>
      </c>
      <c r="E127" s="50"/>
      <c r="F127" s="45" t="s">
        <v>4159</v>
      </c>
      <c r="G127" s="45"/>
      <c r="H127" s="45" t="s">
        <v>4153</v>
      </c>
      <c r="I127" s="50" t="s">
        <v>4481</v>
      </c>
      <c r="J127" s="89"/>
    </row>
    <row r="128" spans="1:10" s="54" customFormat="1" ht="14.1" customHeight="1" x14ac:dyDescent="0.2">
      <c r="A128" s="74" t="s">
        <v>4157</v>
      </c>
      <c r="B128" s="45" t="s">
        <v>4156</v>
      </c>
      <c r="C128" s="45" t="s">
        <v>13</v>
      </c>
      <c r="D128" s="50" t="s">
        <v>4158</v>
      </c>
      <c r="E128" s="50"/>
      <c r="F128" s="45"/>
      <c r="G128" s="45"/>
      <c r="H128" s="45" t="s">
        <v>4153</v>
      </c>
      <c r="I128" s="50" t="s">
        <v>4481</v>
      </c>
      <c r="J128" s="88"/>
    </row>
    <row r="129" spans="1:10" s="54" customFormat="1" ht="14.1" customHeight="1" x14ac:dyDescent="0.2">
      <c r="A129" s="60" t="s">
        <v>3901</v>
      </c>
      <c r="B129" s="70" t="s">
        <v>4149</v>
      </c>
      <c r="C129" s="91" t="s">
        <v>13</v>
      </c>
      <c r="D129" s="84" t="s">
        <v>4137</v>
      </c>
      <c r="E129" s="71" t="s">
        <v>11</v>
      </c>
      <c r="F129" s="72" t="s">
        <v>4138</v>
      </c>
      <c r="G129" s="64" t="s">
        <v>3904</v>
      </c>
      <c r="H129" s="86" t="s">
        <v>4001</v>
      </c>
      <c r="I129" s="64" t="s">
        <v>4505</v>
      </c>
      <c r="J129" s="75"/>
    </row>
    <row r="130" spans="1:10" s="54" customFormat="1" ht="14.1" customHeight="1" x14ac:dyDescent="0.2">
      <c r="A130" s="74" t="s">
        <v>4334</v>
      </c>
      <c r="B130" s="45" t="s">
        <v>4192</v>
      </c>
      <c r="C130" s="50" t="s">
        <v>13</v>
      </c>
      <c r="D130" s="45" t="s">
        <v>4158</v>
      </c>
      <c r="E130" s="45"/>
      <c r="F130" s="45" t="s">
        <v>4382</v>
      </c>
      <c r="G130" s="45"/>
      <c r="H130" s="45" t="s">
        <v>4021</v>
      </c>
      <c r="I130" s="50" t="s">
        <v>4481</v>
      </c>
      <c r="J130" s="88"/>
    </row>
    <row r="131" spans="1:10" s="54" customFormat="1" ht="14.1" customHeight="1" x14ac:dyDescent="0.2">
      <c r="A131" s="74" t="s">
        <v>4190</v>
      </c>
      <c r="B131" s="45" t="s">
        <v>4192</v>
      </c>
      <c r="C131" s="50" t="s">
        <v>13</v>
      </c>
      <c r="D131" s="45" t="s">
        <v>4191</v>
      </c>
      <c r="E131" s="50"/>
      <c r="F131" s="45"/>
      <c r="G131" s="45"/>
      <c r="H131" s="45" t="s">
        <v>4153</v>
      </c>
      <c r="I131" s="50" t="s">
        <v>4481</v>
      </c>
      <c r="J131" s="88"/>
    </row>
    <row r="132" spans="1:10" s="54" customFormat="1" ht="14.1" customHeight="1" x14ac:dyDescent="0.2">
      <c r="A132" s="48" t="s">
        <v>14</v>
      </c>
      <c r="B132" s="44" t="s">
        <v>33</v>
      </c>
      <c r="C132" s="50" t="s">
        <v>13</v>
      </c>
      <c r="D132" s="50" t="s">
        <v>15</v>
      </c>
      <c r="E132" s="50"/>
      <c r="F132" s="45" t="s">
        <v>16</v>
      </c>
      <c r="G132" s="45"/>
      <c r="H132" s="45" t="s">
        <v>4021</v>
      </c>
      <c r="I132" s="50" t="s">
        <v>4481</v>
      </c>
      <c r="J132" s="88"/>
    </row>
    <row r="133" spans="1:10" s="54" customFormat="1" ht="14.1" customHeight="1" x14ac:dyDescent="0.2">
      <c r="A133" s="74" t="s">
        <v>4389</v>
      </c>
      <c r="B133" s="45" t="s">
        <v>4332</v>
      </c>
      <c r="C133" s="50" t="s">
        <v>13</v>
      </c>
      <c r="D133" s="50" t="s">
        <v>4179</v>
      </c>
      <c r="E133" s="50"/>
      <c r="F133" s="45" t="s">
        <v>4390</v>
      </c>
      <c r="G133" s="45" t="s">
        <v>4391</v>
      </c>
      <c r="H133" s="50" t="s">
        <v>4021</v>
      </c>
      <c r="I133" s="50" t="s">
        <v>4481</v>
      </c>
      <c r="J133" s="88"/>
    </row>
    <row r="134" spans="1:10" s="54" customFormat="1" ht="14.1" customHeight="1" x14ac:dyDescent="0.2">
      <c r="A134" s="74" t="s">
        <v>4292</v>
      </c>
      <c r="B134" s="45" t="s">
        <v>1042</v>
      </c>
      <c r="C134" s="98">
        <v>2700</v>
      </c>
      <c r="D134" s="50" t="s">
        <v>4158</v>
      </c>
      <c r="E134" s="50" t="s">
        <v>4006</v>
      </c>
      <c r="F134" s="45"/>
      <c r="G134" s="50"/>
      <c r="H134" s="50" t="s">
        <v>4153</v>
      </c>
      <c r="I134" s="50" t="s">
        <v>4481</v>
      </c>
      <c r="J134" s="89"/>
    </row>
    <row r="135" spans="1:10" s="54" customFormat="1" ht="14.1" customHeight="1" x14ac:dyDescent="0.2">
      <c r="A135" s="74" t="s">
        <v>4291</v>
      </c>
      <c r="B135" s="45" t="s">
        <v>1042</v>
      </c>
      <c r="C135" s="50" t="s">
        <v>13</v>
      </c>
      <c r="D135" s="50" t="s">
        <v>4158</v>
      </c>
      <c r="E135" s="50" t="s">
        <v>11</v>
      </c>
      <c r="F135" s="45"/>
      <c r="G135" s="50"/>
      <c r="H135" s="50" t="s">
        <v>4153</v>
      </c>
      <c r="I135" s="50" t="s">
        <v>4481</v>
      </c>
      <c r="J135" s="88"/>
    </row>
    <row r="136" spans="1:10" s="54" customFormat="1" ht="14.1" customHeight="1" x14ac:dyDescent="0.2">
      <c r="A136" s="74" t="s">
        <v>4234</v>
      </c>
      <c r="B136" s="45" t="s">
        <v>77</v>
      </c>
      <c r="C136" s="50" t="s">
        <v>13</v>
      </c>
      <c r="D136" s="50" t="s">
        <v>4232</v>
      </c>
      <c r="E136" s="50" t="s">
        <v>4006</v>
      </c>
      <c r="F136" s="45" t="s">
        <v>4385</v>
      </c>
      <c r="G136" s="50" t="s">
        <v>4386</v>
      </c>
      <c r="H136" s="50" t="s">
        <v>4153</v>
      </c>
      <c r="I136" s="50" t="s">
        <v>4481</v>
      </c>
      <c r="J136" s="88"/>
    </row>
    <row r="137" spans="1:10" s="54" customFormat="1" ht="14.1" customHeight="1" x14ac:dyDescent="0.2">
      <c r="A137" s="74" t="s">
        <v>4233</v>
      </c>
      <c r="B137" s="45" t="s">
        <v>77</v>
      </c>
      <c r="C137" s="50" t="s">
        <v>13</v>
      </c>
      <c r="D137" s="50" t="s">
        <v>4167</v>
      </c>
      <c r="E137" s="50" t="s">
        <v>4069</v>
      </c>
      <c r="F137" s="45"/>
      <c r="G137" s="50"/>
      <c r="H137" s="50" t="s">
        <v>4153</v>
      </c>
      <c r="I137" s="50" t="s">
        <v>4481</v>
      </c>
      <c r="J137" s="88"/>
    </row>
    <row r="138" spans="1:10" s="54" customFormat="1" ht="14.1" customHeight="1" x14ac:dyDescent="0.2">
      <c r="A138" s="60" t="s">
        <v>3669</v>
      </c>
      <c r="B138" s="70" t="s">
        <v>4055</v>
      </c>
      <c r="C138" s="91" t="s">
        <v>13</v>
      </c>
      <c r="D138" s="84" t="s">
        <v>4056</v>
      </c>
      <c r="E138" s="84" t="s">
        <v>4006</v>
      </c>
      <c r="F138" s="72" t="s">
        <v>4057</v>
      </c>
      <c r="G138" s="64" t="s">
        <v>4444</v>
      </c>
      <c r="H138" s="86" t="s">
        <v>4001</v>
      </c>
      <c r="I138" s="64" t="s">
        <v>4481</v>
      </c>
      <c r="J138" s="88"/>
    </row>
    <row r="139" spans="1:10" s="54" customFormat="1" ht="14.1" customHeight="1" x14ac:dyDescent="0.2">
      <c r="A139" s="74" t="s">
        <v>4331</v>
      </c>
      <c r="B139" s="45" t="s">
        <v>2094</v>
      </c>
      <c r="C139" s="50" t="s">
        <v>13</v>
      </c>
      <c r="D139" s="50" t="s">
        <v>4158</v>
      </c>
      <c r="E139" s="50"/>
      <c r="F139" s="45" t="s">
        <v>4392</v>
      </c>
      <c r="G139" s="50" t="s">
        <v>4393</v>
      </c>
      <c r="H139" s="50" t="s">
        <v>4021</v>
      </c>
      <c r="I139" s="50" t="s">
        <v>4481</v>
      </c>
      <c r="J139" s="89"/>
    </row>
    <row r="140" spans="1:10" s="54" customFormat="1" ht="14.1" customHeight="1" x14ac:dyDescent="0.2">
      <c r="A140" s="48" t="s">
        <v>0</v>
      </c>
      <c r="B140" s="44" t="s">
        <v>23</v>
      </c>
      <c r="C140" s="98">
        <v>160000</v>
      </c>
      <c r="D140" s="50" t="s">
        <v>4182</v>
      </c>
      <c r="E140" s="50" t="s">
        <v>4006</v>
      </c>
      <c r="F140" s="45" t="s">
        <v>19</v>
      </c>
      <c r="G140" s="50" t="s">
        <v>4007</v>
      </c>
      <c r="H140" s="110" t="s">
        <v>4021</v>
      </c>
      <c r="I140" s="50" t="s">
        <v>4481</v>
      </c>
      <c r="J140" s="88"/>
    </row>
    <row r="141" spans="1:10" s="54" customFormat="1" ht="14.1" customHeight="1" x14ac:dyDescent="0.2">
      <c r="A141" s="74" t="s">
        <v>3553</v>
      </c>
      <c r="B141" s="45" t="s">
        <v>23</v>
      </c>
      <c r="C141" s="50" t="s">
        <v>13</v>
      </c>
      <c r="D141" s="50" t="s">
        <v>4185</v>
      </c>
      <c r="E141" s="50" t="s">
        <v>4005</v>
      </c>
      <c r="F141" s="45"/>
      <c r="G141" s="45"/>
      <c r="H141" s="50" t="s">
        <v>4153</v>
      </c>
      <c r="I141" s="50" t="s">
        <v>4481</v>
      </c>
      <c r="J141" s="88"/>
    </row>
    <row r="142" spans="1:10" s="54" customFormat="1" ht="14.1" customHeight="1" x14ac:dyDescent="0.2">
      <c r="A142" s="74" t="s">
        <v>4183</v>
      </c>
      <c r="B142" s="45" t="s">
        <v>23</v>
      </c>
      <c r="C142" s="50" t="s">
        <v>13</v>
      </c>
      <c r="D142" s="50" t="s">
        <v>4184</v>
      </c>
      <c r="E142" s="50" t="s">
        <v>4069</v>
      </c>
      <c r="F142" s="45" t="s">
        <v>4395</v>
      </c>
      <c r="G142" s="50" t="s">
        <v>4396</v>
      </c>
      <c r="H142" s="50" t="s">
        <v>4153</v>
      </c>
      <c r="I142" s="50" t="s">
        <v>4481</v>
      </c>
      <c r="J142" s="75"/>
    </row>
    <row r="143" spans="1:10" s="54" customFormat="1" ht="14.1" customHeight="1" x14ac:dyDescent="0.2">
      <c r="A143" s="74" t="s">
        <v>4186</v>
      </c>
      <c r="B143" s="45" t="s">
        <v>23</v>
      </c>
      <c r="C143" s="50" t="s">
        <v>13</v>
      </c>
      <c r="D143" s="50" t="s">
        <v>4187</v>
      </c>
      <c r="E143" s="50" t="s">
        <v>11</v>
      </c>
      <c r="F143" s="45"/>
      <c r="G143" s="50"/>
      <c r="H143" s="50" t="s">
        <v>4153</v>
      </c>
      <c r="I143" s="50" t="s">
        <v>4506</v>
      </c>
      <c r="J143" s="88"/>
    </row>
    <row r="144" spans="1:10" s="54" customFormat="1" ht="14.1" customHeight="1" x14ac:dyDescent="0.2">
      <c r="A144" s="60" t="s">
        <v>4114</v>
      </c>
      <c r="B144" s="70" t="s">
        <v>23</v>
      </c>
      <c r="C144" s="91" t="s">
        <v>13</v>
      </c>
      <c r="D144" s="84" t="s">
        <v>4111</v>
      </c>
      <c r="E144" s="84" t="s">
        <v>11</v>
      </c>
      <c r="F144" s="72" t="s">
        <v>4115</v>
      </c>
      <c r="G144" s="64"/>
      <c r="H144" s="86" t="s">
        <v>4001</v>
      </c>
      <c r="I144" s="64" t="s">
        <v>4505</v>
      </c>
      <c r="J144" s="69"/>
    </row>
    <row r="145" spans="1:10" s="54" customFormat="1" ht="14.1" customHeight="1" x14ac:dyDescent="0.2">
      <c r="A145" s="74" t="s">
        <v>4230</v>
      </c>
      <c r="B145" s="45" t="s">
        <v>4231</v>
      </c>
      <c r="C145" s="50" t="s">
        <v>13</v>
      </c>
      <c r="D145" s="50" t="s">
        <v>4232</v>
      </c>
      <c r="E145" s="50" t="s">
        <v>4005</v>
      </c>
      <c r="F145" s="45" t="s">
        <v>4397</v>
      </c>
      <c r="G145" s="50" t="s">
        <v>4398</v>
      </c>
      <c r="H145" s="50" t="s">
        <v>4153</v>
      </c>
      <c r="I145" s="50" t="s">
        <v>4481</v>
      </c>
      <c r="J145" s="89"/>
    </row>
    <row r="146" spans="1:10" s="54" customFormat="1" ht="14.1" customHeight="1" x14ac:dyDescent="0.2">
      <c r="A146" s="48" t="s">
        <v>4008</v>
      </c>
      <c r="B146" s="45" t="s">
        <v>4011</v>
      </c>
      <c r="C146" s="50" t="s">
        <v>13</v>
      </c>
      <c r="D146" s="50" t="s">
        <v>4225</v>
      </c>
      <c r="E146" s="50"/>
      <c r="F146" s="45" t="s">
        <v>4009</v>
      </c>
      <c r="G146" s="45" t="s">
        <v>4226</v>
      </c>
      <c r="H146" s="50" t="s">
        <v>4010</v>
      </c>
      <c r="I146" s="64" t="s">
        <v>4506</v>
      </c>
      <c r="J146" s="88"/>
    </row>
    <row r="147" spans="1:10" s="54" customFormat="1" ht="14.1" customHeight="1" x14ac:dyDescent="0.2">
      <c r="A147" s="48" t="s">
        <v>6</v>
      </c>
      <c r="B147" s="44" t="s">
        <v>25</v>
      </c>
      <c r="C147" s="98">
        <v>350000</v>
      </c>
      <c r="D147" s="50" t="s">
        <v>5</v>
      </c>
      <c r="E147" s="50" t="s">
        <v>12</v>
      </c>
      <c r="F147" s="45" t="s">
        <v>4003</v>
      </c>
      <c r="G147" s="50" t="s">
        <v>4002</v>
      </c>
      <c r="H147" s="110" t="s">
        <v>4021</v>
      </c>
      <c r="I147" s="50" t="s">
        <v>4505</v>
      </c>
      <c r="J147" s="88"/>
    </row>
    <row r="148" spans="1:10" s="54" customFormat="1" ht="14.1" customHeight="1" x14ac:dyDescent="0.2">
      <c r="A148" s="74" t="s">
        <v>4330</v>
      </c>
      <c r="B148" s="45" t="s">
        <v>25</v>
      </c>
      <c r="C148" s="50" t="s">
        <v>13</v>
      </c>
      <c r="D148" s="50" t="s">
        <v>4176</v>
      </c>
      <c r="E148" s="50" t="s">
        <v>4005</v>
      </c>
      <c r="F148" s="45" t="s">
        <v>4003</v>
      </c>
      <c r="G148" s="50" t="s">
        <v>4399</v>
      </c>
      <c r="H148" s="50" t="s">
        <v>4021</v>
      </c>
      <c r="I148" s="50" t="s">
        <v>4481</v>
      </c>
      <c r="J148" s="89"/>
    </row>
    <row r="149" spans="1:10" s="54" customFormat="1" ht="14.1" customHeight="1" x14ac:dyDescent="0.2">
      <c r="A149" s="74" t="s">
        <v>3736</v>
      </c>
      <c r="B149" s="45" t="s">
        <v>4054</v>
      </c>
      <c r="C149" s="98">
        <v>1000</v>
      </c>
      <c r="D149" s="50" t="s">
        <v>4307</v>
      </c>
      <c r="E149" s="50" t="s">
        <v>11</v>
      </c>
      <c r="F149" s="45"/>
      <c r="G149" s="50"/>
      <c r="H149" s="50" t="s">
        <v>4153</v>
      </c>
      <c r="I149" s="50" t="s">
        <v>4481</v>
      </c>
      <c r="J149" s="75"/>
    </row>
    <row r="150" spans="1:10" s="54" customFormat="1" ht="14.1" customHeight="1" x14ac:dyDescent="0.2">
      <c r="A150" s="60" t="s">
        <v>4306</v>
      </c>
      <c r="B150" s="70" t="s">
        <v>4054</v>
      </c>
      <c r="C150" s="101">
        <v>20000</v>
      </c>
      <c r="D150" s="84" t="s">
        <v>4046</v>
      </c>
      <c r="E150" s="84" t="s">
        <v>4005</v>
      </c>
      <c r="F150" s="72" t="s">
        <v>4045</v>
      </c>
      <c r="G150" s="72" t="s">
        <v>3629</v>
      </c>
      <c r="H150" s="86" t="s">
        <v>4001</v>
      </c>
      <c r="I150" s="64" t="s">
        <v>4481</v>
      </c>
      <c r="J150" s="88"/>
    </row>
    <row r="151" spans="1:10" s="54" customFormat="1" ht="14.1" customHeight="1" x14ac:dyDescent="0.2">
      <c r="A151" s="60" t="s">
        <v>3720</v>
      </c>
      <c r="B151" s="70" t="s">
        <v>4043</v>
      </c>
      <c r="C151" s="81" t="s">
        <v>13</v>
      </c>
      <c r="D151" s="84" t="s">
        <v>4044</v>
      </c>
      <c r="E151" s="84" t="s">
        <v>4005</v>
      </c>
      <c r="F151" s="72" t="s">
        <v>19</v>
      </c>
      <c r="G151" s="64" t="s">
        <v>3616</v>
      </c>
      <c r="H151" s="86" t="s">
        <v>4001</v>
      </c>
      <c r="I151" s="64" t="s">
        <v>4481</v>
      </c>
      <c r="J151" s="89"/>
    </row>
    <row r="152" spans="1:10" s="54" customFormat="1" ht="14.1" customHeight="1" x14ac:dyDescent="0.2">
      <c r="A152" s="60" t="s">
        <v>3716</v>
      </c>
      <c r="B152" s="70" t="s">
        <v>4043</v>
      </c>
      <c r="C152" s="81" t="s">
        <v>13</v>
      </c>
      <c r="D152" s="71" t="s">
        <v>4103</v>
      </c>
      <c r="E152" s="71" t="s">
        <v>4069</v>
      </c>
      <c r="F152" s="72" t="s">
        <v>19</v>
      </c>
      <c r="G152" s="72"/>
      <c r="H152" s="73" t="s">
        <v>4001</v>
      </c>
      <c r="I152" s="64" t="s">
        <v>4481</v>
      </c>
      <c r="J152" s="89"/>
    </row>
    <row r="153" spans="1:10" s="54" customFormat="1" ht="14.1" customHeight="1" x14ac:dyDescent="0.2">
      <c r="A153" s="60" t="s">
        <v>3891</v>
      </c>
      <c r="B153" s="70" t="s">
        <v>4043</v>
      </c>
      <c r="C153" s="81" t="s">
        <v>13</v>
      </c>
      <c r="D153" s="71" t="s">
        <v>4135</v>
      </c>
      <c r="E153" s="71" t="s">
        <v>11</v>
      </c>
      <c r="F153" s="72" t="s">
        <v>19</v>
      </c>
      <c r="G153" s="72" t="s">
        <v>4136</v>
      </c>
      <c r="H153" s="73" t="s">
        <v>4021</v>
      </c>
      <c r="I153" s="64" t="s">
        <v>4505</v>
      </c>
      <c r="J153" s="89"/>
    </row>
    <row r="154" spans="1:10" s="54" customFormat="1" ht="14.1" customHeight="1" x14ac:dyDescent="0.2">
      <c r="A154" s="60" t="s">
        <v>3810</v>
      </c>
      <c r="B154" s="70" t="s">
        <v>4038</v>
      </c>
      <c r="C154" s="81" t="s">
        <v>13</v>
      </c>
      <c r="D154" s="71" t="s">
        <v>4039</v>
      </c>
      <c r="E154" s="71" t="s">
        <v>4034</v>
      </c>
      <c r="F154" s="72" t="s">
        <v>4040</v>
      </c>
      <c r="G154" s="72"/>
      <c r="H154" s="73" t="s">
        <v>4001</v>
      </c>
      <c r="I154" s="64" t="s">
        <v>4481</v>
      </c>
      <c r="J154" s="89"/>
    </row>
    <row r="155" spans="1:10" s="54" customFormat="1" ht="14.1" customHeight="1" x14ac:dyDescent="0.2">
      <c r="A155" s="60" t="s">
        <v>4088</v>
      </c>
      <c r="B155" s="70" t="s">
        <v>4038</v>
      </c>
      <c r="C155" s="81" t="s">
        <v>13</v>
      </c>
      <c r="D155" s="71" t="s">
        <v>4089</v>
      </c>
      <c r="E155" s="71" t="s">
        <v>4069</v>
      </c>
      <c r="F155" s="72" t="s">
        <v>4090</v>
      </c>
      <c r="G155" s="72"/>
      <c r="H155" s="73" t="s">
        <v>4001</v>
      </c>
      <c r="I155" s="64" t="s">
        <v>4481</v>
      </c>
      <c r="J155" s="88"/>
    </row>
    <row r="156" spans="1:10" s="54" customFormat="1" ht="14.1" customHeight="1" x14ac:dyDescent="0.2">
      <c r="A156" s="60" t="s">
        <v>3455</v>
      </c>
      <c r="B156" s="70" t="s">
        <v>4038</v>
      </c>
      <c r="C156" s="81" t="s">
        <v>13</v>
      </c>
      <c r="D156" s="71" t="s">
        <v>4124</v>
      </c>
      <c r="E156" s="71" t="s">
        <v>11</v>
      </c>
      <c r="F156" s="72" t="s">
        <v>4040</v>
      </c>
      <c r="G156" s="72"/>
      <c r="H156" s="73" t="s">
        <v>4001</v>
      </c>
      <c r="I156" s="64" t="s">
        <v>4481</v>
      </c>
      <c r="J156" s="88"/>
    </row>
    <row r="157" spans="1:10" s="54" customFormat="1" ht="14.1" customHeight="1" x14ac:dyDescent="0.2">
      <c r="A157" s="74" t="s">
        <v>4267</v>
      </c>
      <c r="B157" s="45" t="s">
        <v>4266</v>
      </c>
      <c r="C157" s="45" t="s">
        <v>13</v>
      </c>
      <c r="D157" s="45" t="s">
        <v>4265</v>
      </c>
      <c r="E157" s="45" t="s">
        <v>4069</v>
      </c>
      <c r="F157" s="45" t="s">
        <v>4401</v>
      </c>
      <c r="G157" s="45"/>
      <c r="H157" s="45" t="s">
        <v>4153</v>
      </c>
      <c r="I157" s="50" t="s">
        <v>4481</v>
      </c>
      <c r="J157" s="88"/>
    </row>
    <row r="158" spans="1:10" s="54" customFormat="1" ht="14.1" customHeight="1" x14ac:dyDescent="0.2">
      <c r="A158" s="74" t="s">
        <v>4263</v>
      </c>
      <c r="B158" s="45" t="s">
        <v>4266</v>
      </c>
      <c r="C158" s="45" t="s">
        <v>13</v>
      </c>
      <c r="D158" s="45" t="s">
        <v>4264</v>
      </c>
      <c r="E158" s="45" t="s">
        <v>11</v>
      </c>
      <c r="F158" s="45"/>
      <c r="G158" s="45"/>
      <c r="H158" s="45" t="s">
        <v>4153</v>
      </c>
      <c r="I158" s="50" t="s">
        <v>4506</v>
      </c>
      <c r="J158" s="88"/>
    </row>
    <row r="159" spans="1:10" s="54" customFormat="1" ht="14.1" customHeight="1" x14ac:dyDescent="0.2">
      <c r="A159" s="74" t="s">
        <v>4262</v>
      </c>
      <c r="B159" s="45" t="s">
        <v>4266</v>
      </c>
      <c r="C159" s="45" t="s">
        <v>13</v>
      </c>
      <c r="D159" s="45" t="s">
        <v>4509</v>
      </c>
      <c r="E159" s="45"/>
      <c r="F159" s="45"/>
      <c r="G159" s="45"/>
      <c r="H159" s="45" t="s">
        <v>4153</v>
      </c>
      <c r="I159" s="50" t="s">
        <v>4481</v>
      </c>
      <c r="J159" s="88"/>
    </row>
    <row r="160" spans="1:10" s="54" customFormat="1" ht="14.1" customHeight="1" x14ac:dyDescent="0.2">
      <c r="A160" s="74" t="s">
        <v>4402</v>
      </c>
      <c r="B160" s="45" t="s">
        <v>2066</v>
      </c>
      <c r="C160" s="45" t="s">
        <v>13</v>
      </c>
      <c r="D160" s="45" t="s">
        <v>4158</v>
      </c>
      <c r="E160" s="45"/>
      <c r="F160" s="45" t="s">
        <v>4403</v>
      </c>
      <c r="G160" s="45" t="s">
        <v>4404</v>
      </c>
      <c r="H160" s="45" t="s">
        <v>4153</v>
      </c>
      <c r="I160" s="50" t="s">
        <v>4481</v>
      </c>
      <c r="J160" s="89"/>
    </row>
    <row r="161" spans="1:10" s="54" customFormat="1" ht="14.1" customHeight="1" x14ac:dyDescent="0.2">
      <c r="A161" s="74" t="s">
        <v>4329</v>
      </c>
      <c r="B161" s="45" t="s">
        <v>4147</v>
      </c>
      <c r="C161" s="49">
        <v>30000</v>
      </c>
      <c r="D161" s="45" t="s">
        <v>4407</v>
      </c>
      <c r="E161" s="45" t="s">
        <v>4005</v>
      </c>
      <c r="F161" s="45" t="s">
        <v>4122</v>
      </c>
      <c r="G161" s="45" t="s">
        <v>4406</v>
      </c>
      <c r="H161" s="45" t="s">
        <v>4021</v>
      </c>
      <c r="I161" s="50" t="s">
        <v>4481</v>
      </c>
      <c r="J161" s="88"/>
    </row>
    <row r="162" spans="1:10" s="54" customFormat="1" ht="14.1" customHeight="1" x14ac:dyDescent="0.2">
      <c r="A162" s="74" t="s">
        <v>4248</v>
      </c>
      <c r="B162" s="45" t="s">
        <v>4147</v>
      </c>
      <c r="C162" s="49">
        <v>50000</v>
      </c>
      <c r="D162" s="45" t="s">
        <v>4247</v>
      </c>
      <c r="E162" s="45" t="s">
        <v>4006</v>
      </c>
      <c r="F162" s="45"/>
      <c r="G162" s="45"/>
      <c r="H162" s="45" t="s">
        <v>4153</v>
      </c>
      <c r="I162" s="50" t="s">
        <v>4481</v>
      </c>
      <c r="J162" s="75"/>
    </row>
    <row r="163" spans="1:10" s="54" customFormat="1" ht="14.1" customHeight="1" x14ac:dyDescent="0.2">
      <c r="A163" s="60" t="s">
        <v>4120</v>
      </c>
      <c r="B163" s="70" t="s">
        <v>4147</v>
      </c>
      <c r="C163" s="81" t="s">
        <v>13</v>
      </c>
      <c r="D163" s="71" t="s">
        <v>4121</v>
      </c>
      <c r="E163" s="71" t="s">
        <v>11</v>
      </c>
      <c r="F163" s="72" t="s">
        <v>4122</v>
      </c>
      <c r="G163" s="72"/>
      <c r="H163" s="73" t="s">
        <v>4001</v>
      </c>
      <c r="I163" s="64" t="s">
        <v>4505</v>
      </c>
      <c r="J163" s="88"/>
    </row>
    <row r="164" spans="1:10" s="54" customFormat="1" ht="14.1" customHeight="1" x14ac:dyDescent="0.2">
      <c r="A164" s="74" t="s">
        <v>4409</v>
      </c>
      <c r="B164" s="45" t="s">
        <v>4160</v>
      </c>
      <c r="C164" s="45" t="s">
        <v>13</v>
      </c>
      <c r="D164" s="45" t="s">
        <v>4411</v>
      </c>
      <c r="E164" s="45" t="s">
        <v>4005</v>
      </c>
      <c r="F164" s="45" t="s">
        <v>4410</v>
      </c>
      <c r="G164" s="45"/>
      <c r="H164" s="45" t="s">
        <v>4153</v>
      </c>
      <c r="I164" s="50" t="s">
        <v>4481</v>
      </c>
      <c r="J164" s="88"/>
    </row>
    <row r="165" spans="1:10" s="54" customFormat="1" ht="14.1" customHeight="1" x14ac:dyDescent="0.2">
      <c r="A165" s="74" t="s">
        <v>17</v>
      </c>
      <c r="B165" s="45" t="s">
        <v>4097</v>
      </c>
      <c r="C165" s="49">
        <v>275000</v>
      </c>
      <c r="D165" s="45" t="s">
        <v>4521</v>
      </c>
      <c r="E165" s="45" t="s">
        <v>4004</v>
      </c>
      <c r="F165" s="45" t="s">
        <v>18</v>
      </c>
      <c r="G165" s="45"/>
      <c r="H165" s="45" t="s">
        <v>4153</v>
      </c>
      <c r="I165" s="50" t="s">
        <v>4481</v>
      </c>
      <c r="J165" s="88"/>
    </row>
    <row r="166" spans="1:10" s="54" customFormat="1" ht="14.1" customHeight="1" x14ac:dyDescent="0.2">
      <c r="A166" s="60" t="s">
        <v>4094</v>
      </c>
      <c r="B166" s="70" t="s">
        <v>4097</v>
      </c>
      <c r="C166" s="81" t="s">
        <v>13</v>
      </c>
      <c r="D166" s="84" t="s">
        <v>4095</v>
      </c>
      <c r="E166" s="84" t="s">
        <v>4069</v>
      </c>
      <c r="F166" s="64" t="s">
        <v>4096</v>
      </c>
      <c r="G166" s="64"/>
      <c r="H166" s="73" t="s">
        <v>4001</v>
      </c>
      <c r="I166" s="64" t="s">
        <v>4481</v>
      </c>
      <c r="J166" s="89"/>
    </row>
    <row r="167" spans="1:10" s="54" customFormat="1" ht="14.1" customHeight="1" x14ac:dyDescent="0.2">
      <c r="A167" s="60" t="s">
        <v>4050</v>
      </c>
      <c r="B167" s="70" t="s">
        <v>4053</v>
      </c>
      <c r="C167" s="81" t="s">
        <v>13</v>
      </c>
      <c r="D167" s="84" t="s">
        <v>4052</v>
      </c>
      <c r="E167" s="84" t="s">
        <v>4006</v>
      </c>
      <c r="F167" s="64" t="s">
        <v>4051</v>
      </c>
      <c r="G167" s="64"/>
      <c r="H167" s="73" t="s">
        <v>4001</v>
      </c>
      <c r="I167" s="64" t="s">
        <v>4507</v>
      </c>
      <c r="J167" s="88"/>
    </row>
    <row r="168" spans="1:10" s="54" customFormat="1" ht="14.1" customHeight="1" x14ac:dyDescent="0.2">
      <c r="A168" s="74" t="s">
        <v>4198</v>
      </c>
      <c r="B168" s="45" t="s">
        <v>4053</v>
      </c>
      <c r="C168" s="45" t="s">
        <v>13</v>
      </c>
      <c r="D168" s="50" t="s">
        <v>4179</v>
      </c>
      <c r="E168" s="50"/>
      <c r="F168" s="50"/>
      <c r="G168" s="50" t="s">
        <v>4199</v>
      </c>
      <c r="H168" s="45" t="s">
        <v>4153</v>
      </c>
      <c r="I168" s="50" t="s">
        <v>4481</v>
      </c>
      <c r="J168" s="75"/>
    </row>
    <row r="169" spans="1:10" s="54" customFormat="1" ht="14.1" customHeight="1" x14ac:dyDescent="0.2">
      <c r="A169" s="74" t="s">
        <v>4327</v>
      </c>
      <c r="B169" s="45" t="s">
        <v>34</v>
      </c>
      <c r="C169" s="45" t="s">
        <v>13</v>
      </c>
      <c r="D169" s="50" t="s">
        <v>4413</v>
      </c>
      <c r="E169" s="50" t="s">
        <v>4006</v>
      </c>
      <c r="F169" s="50" t="s">
        <v>4106</v>
      </c>
      <c r="G169" s="50" t="s">
        <v>4412</v>
      </c>
      <c r="H169" s="45" t="s">
        <v>4021</v>
      </c>
      <c r="I169" s="50" t="s">
        <v>4481</v>
      </c>
      <c r="J169" s="89"/>
    </row>
    <row r="170" spans="1:10" s="54" customFormat="1" ht="14.1" customHeight="1" x14ac:dyDescent="0.2">
      <c r="A170" s="60" t="s">
        <v>4104</v>
      </c>
      <c r="B170" s="70" t="s">
        <v>34</v>
      </c>
      <c r="C170" s="81" t="s">
        <v>13</v>
      </c>
      <c r="D170" s="84" t="s">
        <v>4105</v>
      </c>
      <c r="E170" s="84" t="s">
        <v>4069</v>
      </c>
      <c r="F170" s="64" t="s">
        <v>4106</v>
      </c>
      <c r="G170" s="64" t="s">
        <v>3856</v>
      </c>
      <c r="H170" s="73" t="s">
        <v>4001</v>
      </c>
      <c r="I170" s="64" t="s">
        <v>4481</v>
      </c>
      <c r="J170" s="88"/>
    </row>
    <row r="171" spans="1:10" s="54" customFormat="1" ht="14.1" customHeight="1" x14ac:dyDescent="0.2">
      <c r="A171" s="74" t="s">
        <v>4208</v>
      </c>
      <c r="B171" s="45" t="s">
        <v>4209</v>
      </c>
      <c r="C171" s="45" t="s">
        <v>4207</v>
      </c>
      <c r="D171" s="50" t="s">
        <v>4210</v>
      </c>
      <c r="E171" s="50" t="s">
        <v>11</v>
      </c>
      <c r="F171" s="50"/>
      <c r="G171" s="50"/>
      <c r="H171" s="45" t="s">
        <v>4153</v>
      </c>
      <c r="I171" s="50" t="s">
        <v>4505</v>
      </c>
      <c r="J171" s="75"/>
    </row>
    <row r="172" spans="1:10" s="54" customFormat="1" ht="14.1" customHeight="1" x14ac:dyDescent="0.2">
      <c r="A172" s="74" t="s">
        <v>4211</v>
      </c>
      <c r="B172" s="45" t="s">
        <v>4209</v>
      </c>
      <c r="C172" s="45" t="s">
        <v>4207</v>
      </c>
      <c r="D172" s="50" t="s">
        <v>4184</v>
      </c>
      <c r="E172" s="50"/>
      <c r="F172" s="50"/>
      <c r="G172" s="50" t="s">
        <v>4212</v>
      </c>
      <c r="H172" s="45" t="s">
        <v>4153</v>
      </c>
      <c r="I172" s="50" t="s">
        <v>4481</v>
      </c>
      <c r="J172" s="88"/>
    </row>
    <row r="173" spans="1:10" s="54" customFormat="1" ht="14.1" customHeight="1" x14ac:dyDescent="0.2">
      <c r="A173" s="74" t="s">
        <v>4323</v>
      </c>
      <c r="B173" s="45" t="s">
        <v>4324</v>
      </c>
      <c r="C173" s="45" t="s">
        <v>13</v>
      </c>
      <c r="D173" s="50" t="s">
        <v>4158</v>
      </c>
      <c r="E173" s="50"/>
      <c r="F173" s="50" t="s">
        <v>4415</v>
      </c>
      <c r="G173" s="50" t="s">
        <v>4416</v>
      </c>
      <c r="H173" s="45" t="s">
        <v>4021</v>
      </c>
      <c r="I173" s="50" t="s">
        <v>4481</v>
      </c>
      <c r="J173" s="88"/>
    </row>
    <row r="174" spans="1:10" s="54" customFormat="1" ht="14.1" customHeight="1" x14ac:dyDescent="0.2">
      <c r="A174" s="74" t="s">
        <v>4250</v>
      </c>
      <c r="B174" s="45" t="s">
        <v>1297</v>
      </c>
      <c r="C174" s="45" t="s">
        <v>13</v>
      </c>
      <c r="D174" s="50" t="s">
        <v>4249</v>
      </c>
      <c r="E174" s="50" t="s">
        <v>11</v>
      </c>
      <c r="F174" s="50" t="s">
        <v>4251</v>
      </c>
      <c r="G174" s="50" t="s">
        <v>4252</v>
      </c>
      <c r="H174" s="45" t="s">
        <v>4153</v>
      </c>
      <c r="I174" s="50" t="s">
        <v>4506</v>
      </c>
      <c r="J174" s="88"/>
    </row>
    <row r="175" spans="1:10" s="54" customFormat="1" ht="14.1" customHeight="1" x14ac:dyDescent="0.2">
      <c r="A175" s="60" t="s">
        <v>4150</v>
      </c>
      <c r="B175" s="70" t="s">
        <v>4152</v>
      </c>
      <c r="C175" s="81" t="s">
        <v>13</v>
      </c>
      <c r="D175" s="84" t="s">
        <v>4151</v>
      </c>
      <c r="E175" s="50" t="s">
        <v>4034</v>
      </c>
      <c r="F175" s="64" t="s">
        <v>4154</v>
      </c>
      <c r="G175" s="64"/>
      <c r="H175" s="73" t="s">
        <v>4153</v>
      </c>
      <c r="I175" s="64" t="s">
        <v>4481</v>
      </c>
      <c r="J175" s="89"/>
    </row>
    <row r="176" spans="1:10" s="54" customFormat="1" ht="14.1" customHeight="1" x14ac:dyDescent="0.2">
      <c r="A176" s="74" t="s">
        <v>4321</v>
      </c>
      <c r="B176" s="45" t="s">
        <v>4322</v>
      </c>
      <c r="C176" s="45" t="s">
        <v>13</v>
      </c>
      <c r="D176" s="50" t="s">
        <v>4420</v>
      </c>
      <c r="E176" s="50" t="s">
        <v>4069</v>
      </c>
      <c r="F176" s="50" t="s">
        <v>4419</v>
      </c>
      <c r="G176" s="50" t="s">
        <v>3629</v>
      </c>
      <c r="H176" s="45" t="s">
        <v>4021</v>
      </c>
      <c r="I176" s="50" t="s">
        <v>4481</v>
      </c>
      <c r="J176" s="88"/>
    </row>
    <row r="177" spans="1:10" s="54" customFormat="1" ht="14.1" customHeight="1" x14ac:dyDescent="0.2">
      <c r="A177" s="74" t="s">
        <v>4270</v>
      </c>
      <c r="B177" s="45" t="s">
        <v>4271</v>
      </c>
      <c r="C177" s="45" t="s">
        <v>13</v>
      </c>
      <c r="D177" s="50" t="s">
        <v>4272</v>
      </c>
      <c r="E177" s="50"/>
      <c r="F177" s="50"/>
      <c r="G177" s="50"/>
      <c r="H177" s="45" t="s">
        <v>4153</v>
      </c>
      <c r="I177" s="50" t="s">
        <v>4481</v>
      </c>
      <c r="J177" s="88"/>
    </row>
    <row r="178" spans="1:10" s="54" customFormat="1" ht="14.1" customHeight="1" x14ac:dyDescent="0.2">
      <c r="A178" s="74" t="s">
        <v>4273</v>
      </c>
      <c r="B178" s="45" t="s">
        <v>4271</v>
      </c>
      <c r="C178" s="45" t="s">
        <v>13</v>
      </c>
      <c r="D178" s="50" t="s">
        <v>4158</v>
      </c>
      <c r="E178" s="50"/>
      <c r="F178" s="50"/>
      <c r="G178" s="50"/>
      <c r="H178" s="45" t="s">
        <v>4153</v>
      </c>
      <c r="I178" s="50" t="s">
        <v>4481</v>
      </c>
      <c r="J178" s="88"/>
    </row>
    <row r="179" spans="1:10" s="54" customFormat="1" ht="14.1" customHeight="1" x14ac:dyDescent="0.2">
      <c r="A179" s="74" t="s">
        <v>4319</v>
      </c>
      <c r="B179" s="45" t="s">
        <v>4320</v>
      </c>
      <c r="C179" s="49">
        <v>6000</v>
      </c>
      <c r="D179" s="50" t="s">
        <v>4407</v>
      </c>
      <c r="E179" s="50" t="s">
        <v>4005</v>
      </c>
      <c r="F179" s="50" t="s">
        <v>4421</v>
      </c>
      <c r="G179" s="50" t="s">
        <v>3629</v>
      </c>
      <c r="H179" s="45" t="s">
        <v>4021</v>
      </c>
      <c r="I179" s="50" t="s">
        <v>4481</v>
      </c>
      <c r="J179" s="88"/>
    </row>
    <row r="180" spans="1:10" s="54" customFormat="1" ht="14.1" customHeight="1" x14ac:dyDescent="0.2">
      <c r="A180" s="74" t="s">
        <v>4313</v>
      </c>
      <c r="B180" s="45" t="s">
        <v>4314</v>
      </c>
      <c r="C180" s="45" t="s">
        <v>13</v>
      </c>
      <c r="D180" s="50" t="s">
        <v>4427</v>
      </c>
      <c r="E180" s="50" t="s">
        <v>4006</v>
      </c>
      <c r="F180" s="50" t="s">
        <v>4426</v>
      </c>
      <c r="G180" s="50"/>
      <c r="H180" s="45" t="s">
        <v>4021</v>
      </c>
      <c r="I180" s="50" t="s">
        <v>4481</v>
      </c>
      <c r="J180" s="88"/>
    </row>
    <row r="181" spans="1:10" s="54" customFormat="1" ht="14.1" customHeight="1" x14ac:dyDescent="0.2">
      <c r="A181" s="74" t="s">
        <v>4312</v>
      </c>
      <c r="B181" s="45" t="s">
        <v>3946</v>
      </c>
      <c r="C181" s="45" t="s">
        <v>13</v>
      </c>
      <c r="D181" s="50" t="s">
        <v>4430</v>
      </c>
      <c r="E181" s="50" t="s">
        <v>4034</v>
      </c>
      <c r="F181" s="50" t="s">
        <v>4428</v>
      </c>
      <c r="G181" s="50" t="s">
        <v>4429</v>
      </c>
      <c r="H181" s="45" t="s">
        <v>4021</v>
      </c>
      <c r="I181" s="50" t="s">
        <v>4481</v>
      </c>
      <c r="J181" s="88"/>
    </row>
    <row r="182" spans="1:10" s="54" customFormat="1" ht="14.1" customHeight="1" x14ac:dyDescent="0.2">
      <c r="A182" s="60" t="s">
        <v>3710</v>
      </c>
      <c r="B182" s="70" t="s">
        <v>71</v>
      </c>
      <c r="C182" s="81" t="s">
        <v>13</v>
      </c>
      <c r="D182" s="84" t="s">
        <v>4058</v>
      </c>
      <c r="E182" s="84" t="s">
        <v>4006</v>
      </c>
      <c r="F182" s="64" t="s">
        <v>4059</v>
      </c>
      <c r="G182" s="64"/>
      <c r="H182" s="73" t="s">
        <v>4001</v>
      </c>
      <c r="I182" s="64" t="s">
        <v>4481</v>
      </c>
      <c r="J182" s="88"/>
    </row>
    <row r="183" spans="1:10" s="54" customFormat="1" ht="14.1" customHeight="1" x14ac:dyDescent="0.2">
      <c r="A183" s="74" t="s">
        <v>4213</v>
      </c>
      <c r="B183" s="45" t="s">
        <v>4214</v>
      </c>
      <c r="C183" s="49">
        <v>60000</v>
      </c>
      <c r="D183" s="50" t="s">
        <v>4179</v>
      </c>
      <c r="E183" s="50" t="s">
        <v>11</v>
      </c>
      <c r="F183" s="50" t="s">
        <v>4218</v>
      </c>
      <c r="G183" s="50" t="s">
        <v>4217</v>
      </c>
      <c r="H183" s="45" t="s">
        <v>4153</v>
      </c>
      <c r="I183" s="50" t="s">
        <v>4481</v>
      </c>
      <c r="J183" s="69"/>
    </row>
    <row r="184" spans="1:10" s="54" customFormat="1" ht="14.1" customHeight="1" x14ac:dyDescent="0.2">
      <c r="A184" s="74" t="s">
        <v>4216</v>
      </c>
      <c r="B184" s="45" t="s">
        <v>4214</v>
      </c>
      <c r="C184" s="49">
        <v>200000</v>
      </c>
      <c r="D184" s="50" t="s">
        <v>4523</v>
      </c>
      <c r="E184" s="50" t="s">
        <v>4524</v>
      </c>
      <c r="F184" s="50" t="s">
        <v>4522</v>
      </c>
      <c r="G184" s="50"/>
      <c r="H184" s="45" t="s">
        <v>4153</v>
      </c>
      <c r="I184" s="50" t="s">
        <v>4505</v>
      </c>
      <c r="J184" s="88"/>
    </row>
    <row r="185" spans="1:10" s="54" customFormat="1" ht="14.1" customHeight="1" x14ac:dyDescent="0.2">
      <c r="A185" s="74" t="s">
        <v>4215</v>
      </c>
      <c r="B185" s="45" t="s">
        <v>4214</v>
      </c>
      <c r="C185" s="45" t="s">
        <v>13</v>
      </c>
      <c r="D185" s="50" t="s">
        <v>4158</v>
      </c>
      <c r="E185" s="50"/>
      <c r="F185" s="50" t="s">
        <v>4218</v>
      </c>
      <c r="G185" s="50" t="s">
        <v>4219</v>
      </c>
      <c r="H185" s="45" t="s">
        <v>4153</v>
      </c>
      <c r="I185" s="50" t="s">
        <v>4481</v>
      </c>
      <c r="J185" s="88"/>
    </row>
    <row r="186" spans="1:10" s="54" customFormat="1" ht="14.1" customHeight="1" x14ac:dyDescent="0.2">
      <c r="A186" s="93" t="s">
        <v>4</v>
      </c>
      <c r="B186" s="44" t="s">
        <v>4438</v>
      </c>
      <c r="C186" s="45" t="s">
        <v>4525</v>
      </c>
      <c r="D186" s="45" t="s">
        <v>4435</v>
      </c>
      <c r="E186" s="45" t="s">
        <v>4028</v>
      </c>
      <c r="F186" s="45" t="s">
        <v>4223</v>
      </c>
      <c r="G186" s="45" t="s">
        <v>4443</v>
      </c>
      <c r="H186" s="44" t="s">
        <v>4021</v>
      </c>
      <c r="I186" s="50" t="s">
        <v>4481</v>
      </c>
      <c r="J186" s="75"/>
    </row>
    <row r="187" spans="1:10" x14ac:dyDescent="0.2">
      <c r="A187" s="59"/>
      <c r="I187" s="58"/>
      <c r="J187" s="75"/>
    </row>
    <row r="188" spans="1:10" x14ac:dyDescent="0.2">
      <c r="A188" s="59"/>
      <c r="I188" s="58"/>
      <c r="J188" s="75"/>
    </row>
    <row r="189" spans="1:10" x14ac:dyDescent="0.2">
      <c r="A189" s="59"/>
      <c r="I189" s="58"/>
      <c r="J189" s="75"/>
    </row>
  </sheetData>
  <sortState ref="A2:J186">
    <sortCondition ref="B2:B186"/>
    <sortCondition ref="C2:C186"/>
    <sortCondition descending="1" ref="E2:E186"/>
  </sortState>
  <printOptions horizontalCentered="1"/>
  <pageMargins left="0.45" right="0.45" top="0.75" bottom="0.75" header="0.3" footer="0.3"/>
  <pageSetup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1"/>
  <sheetViews>
    <sheetView topLeftCell="A74" workbookViewId="0">
      <selection activeCell="H104" sqref="H104"/>
    </sheetView>
  </sheetViews>
  <sheetFormatPr defaultRowHeight="15" x14ac:dyDescent="0.25"/>
  <cols>
    <col min="1" max="2" width="10.140625" bestFit="1" customWidth="1"/>
    <col min="4" max="4" width="20" customWidth="1"/>
    <col min="5" max="5" width="24.140625" customWidth="1"/>
    <col min="7" max="7" width="15.7109375" customWidth="1"/>
    <col min="8" max="8" width="14.7109375" customWidth="1"/>
    <col min="9" max="9" width="13.140625" bestFit="1" customWidth="1"/>
  </cols>
  <sheetData>
    <row r="1" spans="1:19" ht="51.75" x14ac:dyDescent="0.25">
      <c r="A1" s="1">
        <v>40641</v>
      </c>
      <c r="B1" s="1">
        <v>43944</v>
      </c>
      <c r="C1" s="2">
        <f t="shared" ref="C1:C64" si="0">(B1-A1)+1</f>
        <v>3304</v>
      </c>
      <c r="D1" s="6" t="s">
        <v>121</v>
      </c>
      <c r="E1" s="3" t="s">
        <v>122</v>
      </c>
      <c r="F1" s="4" t="s">
        <v>58</v>
      </c>
      <c r="G1" s="3" t="s">
        <v>123</v>
      </c>
      <c r="H1" s="3" t="s">
        <v>124</v>
      </c>
      <c r="I1" s="3" t="s">
        <v>125</v>
      </c>
      <c r="J1" s="3" t="s">
        <v>61</v>
      </c>
      <c r="K1" s="3"/>
      <c r="L1" s="3"/>
      <c r="M1" s="3"/>
      <c r="N1" s="3"/>
      <c r="O1" s="3"/>
      <c r="P1" s="3"/>
      <c r="Q1" s="3"/>
      <c r="R1" s="3"/>
      <c r="S1" s="3"/>
    </row>
    <row r="2" spans="1:19" ht="39" x14ac:dyDescent="0.25">
      <c r="A2" s="1">
        <v>40623</v>
      </c>
      <c r="B2" s="1">
        <v>41274</v>
      </c>
      <c r="C2" s="2">
        <f t="shared" si="0"/>
        <v>652</v>
      </c>
      <c r="D2" s="6" t="s">
        <v>101</v>
      </c>
      <c r="E2" s="3" t="s">
        <v>102</v>
      </c>
      <c r="F2" s="4" t="s">
        <v>58</v>
      </c>
      <c r="G2" s="3" t="s">
        <v>103</v>
      </c>
      <c r="H2" s="3" t="s">
        <v>104</v>
      </c>
      <c r="I2" s="3" t="s">
        <v>105</v>
      </c>
      <c r="J2" s="3" t="s">
        <v>61</v>
      </c>
      <c r="K2" s="3"/>
      <c r="L2" s="3"/>
      <c r="M2" s="3"/>
      <c r="N2" s="3"/>
      <c r="O2" s="3"/>
      <c r="P2" s="3"/>
      <c r="Q2" s="3"/>
      <c r="R2" s="3"/>
      <c r="S2" s="3"/>
    </row>
    <row r="3" spans="1:19" ht="39" x14ac:dyDescent="0.25">
      <c r="A3" s="1">
        <v>40675</v>
      </c>
      <c r="B3" s="1">
        <v>41041</v>
      </c>
      <c r="C3" s="2">
        <f t="shared" si="0"/>
        <v>367</v>
      </c>
      <c r="D3" s="6" t="s">
        <v>195</v>
      </c>
      <c r="E3" s="3" t="s">
        <v>196</v>
      </c>
      <c r="F3" s="4" t="s">
        <v>58</v>
      </c>
      <c r="G3" s="3" t="s">
        <v>197</v>
      </c>
      <c r="H3" s="3" t="s">
        <v>198</v>
      </c>
      <c r="I3" s="3" t="s">
        <v>199</v>
      </c>
      <c r="J3" s="3" t="s">
        <v>61</v>
      </c>
      <c r="K3" s="3"/>
      <c r="L3" s="3"/>
      <c r="M3" s="3"/>
      <c r="N3" s="3"/>
      <c r="O3" s="3"/>
      <c r="P3" s="3"/>
      <c r="Q3" s="3"/>
      <c r="R3" s="3"/>
      <c r="S3" s="3"/>
    </row>
    <row r="4" spans="1:19" ht="39" x14ac:dyDescent="0.25">
      <c r="A4" s="1">
        <v>40893</v>
      </c>
      <c r="B4" s="1">
        <v>41259</v>
      </c>
      <c r="C4" s="2">
        <f t="shared" si="0"/>
        <v>367</v>
      </c>
      <c r="D4" s="6" t="s">
        <v>2645</v>
      </c>
      <c r="E4" s="3" t="s">
        <v>2646</v>
      </c>
      <c r="F4" s="4" t="s">
        <v>58</v>
      </c>
      <c r="G4" s="3" t="s">
        <v>2647</v>
      </c>
      <c r="H4" s="3" t="s">
        <v>2648</v>
      </c>
      <c r="I4" s="3" t="s">
        <v>2649</v>
      </c>
      <c r="J4" s="3" t="s">
        <v>61</v>
      </c>
      <c r="K4" s="3"/>
      <c r="L4" s="3"/>
      <c r="M4" s="3"/>
      <c r="N4" s="3"/>
      <c r="O4" s="3"/>
      <c r="P4" s="3"/>
      <c r="Q4" s="3"/>
      <c r="R4" s="3"/>
      <c r="S4" s="3"/>
    </row>
    <row r="5" spans="1:19" ht="64.5" x14ac:dyDescent="0.25">
      <c r="A5" s="1">
        <v>40732</v>
      </c>
      <c r="B5" s="1">
        <v>41077</v>
      </c>
      <c r="C5" s="2">
        <f t="shared" si="0"/>
        <v>346</v>
      </c>
      <c r="D5" s="6" t="s">
        <v>241</v>
      </c>
      <c r="E5" s="3" t="s">
        <v>242</v>
      </c>
      <c r="F5" s="4" t="s">
        <v>58</v>
      </c>
      <c r="G5" s="3" t="s">
        <v>243</v>
      </c>
      <c r="H5" s="3" t="s">
        <v>244</v>
      </c>
      <c r="I5" s="3" t="s">
        <v>245</v>
      </c>
      <c r="J5" s="3" t="s">
        <v>61</v>
      </c>
      <c r="K5" s="3"/>
      <c r="L5" s="3"/>
      <c r="M5" s="3"/>
      <c r="N5" s="3"/>
      <c r="O5" s="3"/>
      <c r="P5" s="3"/>
      <c r="Q5" s="3"/>
      <c r="R5" s="3"/>
      <c r="S5" s="3"/>
    </row>
    <row r="6" spans="1:19" ht="51.75" x14ac:dyDescent="0.25">
      <c r="A6" s="1">
        <v>40571</v>
      </c>
      <c r="B6" s="1">
        <v>40908</v>
      </c>
      <c r="C6" s="2">
        <f t="shared" si="0"/>
        <v>338</v>
      </c>
      <c r="D6" s="6" t="s">
        <v>56</v>
      </c>
      <c r="E6" s="3" t="s">
        <v>57</v>
      </c>
      <c r="F6" s="4" t="s">
        <v>58</v>
      </c>
      <c r="G6" s="3" t="s">
        <v>59</v>
      </c>
      <c r="H6" s="3"/>
      <c r="I6" s="3" t="s">
        <v>60</v>
      </c>
      <c r="J6" s="3" t="s">
        <v>61</v>
      </c>
      <c r="K6" s="3"/>
      <c r="L6" s="3"/>
      <c r="M6" s="3"/>
      <c r="N6" s="3"/>
      <c r="O6" s="3"/>
      <c r="P6" s="3"/>
      <c r="Q6" s="3"/>
      <c r="R6" s="3"/>
      <c r="S6" s="3"/>
    </row>
    <row r="7" spans="1:19" ht="39" x14ac:dyDescent="0.25">
      <c r="A7" s="1">
        <v>40572</v>
      </c>
      <c r="B7" s="1">
        <v>40908</v>
      </c>
      <c r="C7" s="2">
        <f t="shared" si="0"/>
        <v>337</v>
      </c>
      <c r="D7" s="6" t="s">
        <v>74</v>
      </c>
      <c r="E7" s="3" t="s">
        <v>75</v>
      </c>
      <c r="F7" s="4" t="s">
        <v>58</v>
      </c>
      <c r="G7" s="3" t="s">
        <v>76</v>
      </c>
      <c r="H7" s="3"/>
      <c r="I7" s="3" t="s">
        <v>77</v>
      </c>
      <c r="J7" s="3" t="s">
        <v>61</v>
      </c>
      <c r="K7" s="3"/>
      <c r="L7" s="3"/>
      <c r="M7" s="3"/>
      <c r="N7" s="3"/>
      <c r="O7" s="3"/>
      <c r="P7" s="3"/>
      <c r="Q7" s="3"/>
      <c r="R7" s="3"/>
      <c r="S7" s="3"/>
    </row>
    <row r="8" spans="1:19" ht="39" x14ac:dyDescent="0.25">
      <c r="A8" s="1">
        <v>40600</v>
      </c>
      <c r="B8" s="1">
        <v>40894</v>
      </c>
      <c r="C8" s="2">
        <f t="shared" si="0"/>
        <v>295</v>
      </c>
      <c r="D8" s="6" t="s">
        <v>81</v>
      </c>
      <c r="E8" s="3" t="s">
        <v>82</v>
      </c>
      <c r="F8" s="4" t="s">
        <v>58</v>
      </c>
      <c r="G8" s="3" t="s">
        <v>83</v>
      </c>
      <c r="H8" s="3" t="s">
        <v>84</v>
      </c>
      <c r="I8" s="3" t="s">
        <v>85</v>
      </c>
      <c r="J8" s="3" t="s">
        <v>61</v>
      </c>
      <c r="K8" s="3"/>
      <c r="L8" s="3"/>
      <c r="M8" s="3"/>
      <c r="N8" s="3"/>
      <c r="O8" s="3"/>
      <c r="P8" s="3"/>
      <c r="Q8" s="3"/>
      <c r="R8" s="3"/>
      <c r="S8" s="3"/>
    </row>
    <row r="9" spans="1:19" ht="51.75" x14ac:dyDescent="0.25">
      <c r="A9" s="1">
        <v>40616</v>
      </c>
      <c r="B9" s="1">
        <v>40892</v>
      </c>
      <c r="C9" s="2">
        <f t="shared" si="0"/>
        <v>277</v>
      </c>
      <c r="D9" s="6" t="s">
        <v>95</v>
      </c>
      <c r="E9" s="3" t="s">
        <v>96</v>
      </c>
      <c r="F9" s="4" t="s">
        <v>58</v>
      </c>
      <c r="G9" s="3" t="s">
        <v>97</v>
      </c>
      <c r="H9" s="3"/>
      <c r="I9" s="3" t="s">
        <v>98</v>
      </c>
      <c r="J9" s="3" t="s">
        <v>61</v>
      </c>
      <c r="K9" s="3"/>
      <c r="L9" s="3"/>
      <c r="M9" s="3"/>
      <c r="N9" s="3"/>
      <c r="O9" s="3"/>
      <c r="P9" s="3"/>
      <c r="Q9" s="3"/>
      <c r="R9" s="3"/>
      <c r="S9" s="3"/>
    </row>
    <row r="10" spans="1:19" ht="39" x14ac:dyDescent="0.25">
      <c r="A10" s="1">
        <v>40605</v>
      </c>
      <c r="B10" s="1">
        <v>40878</v>
      </c>
      <c r="C10" s="2">
        <f t="shared" si="0"/>
        <v>274</v>
      </c>
      <c r="D10" s="6" t="s">
        <v>88</v>
      </c>
      <c r="E10" s="3" t="s">
        <v>89</v>
      </c>
      <c r="F10" s="4" t="s">
        <v>58</v>
      </c>
      <c r="G10" s="3" t="s">
        <v>90</v>
      </c>
      <c r="H10" s="3"/>
      <c r="I10" s="3" t="s">
        <v>91</v>
      </c>
      <c r="J10" s="3" t="s">
        <v>61</v>
      </c>
      <c r="K10" s="3"/>
      <c r="L10" s="3"/>
      <c r="M10" s="3"/>
      <c r="N10" s="3"/>
      <c r="O10" s="3"/>
      <c r="P10" s="3"/>
      <c r="Q10" s="3"/>
      <c r="R10" s="3"/>
      <c r="S10" s="3"/>
    </row>
    <row r="11" spans="1:19" ht="39" x14ac:dyDescent="0.25">
      <c r="A11" s="1">
        <v>40651</v>
      </c>
      <c r="B11" s="1">
        <v>40908</v>
      </c>
      <c r="C11" s="2">
        <f t="shared" si="0"/>
        <v>258</v>
      </c>
      <c r="D11" s="6" t="s">
        <v>137</v>
      </c>
      <c r="E11" s="3" t="s">
        <v>138</v>
      </c>
      <c r="F11" s="4" t="s">
        <v>58</v>
      </c>
      <c r="G11" s="3" t="s">
        <v>139</v>
      </c>
      <c r="H11" s="3" t="s">
        <v>140</v>
      </c>
      <c r="I11" s="3" t="s">
        <v>105</v>
      </c>
      <c r="J11" s="3" t="s">
        <v>61</v>
      </c>
      <c r="K11" s="3"/>
      <c r="L11" s="3"/>
      <c r="M11" s="3"/>
      <c r="N11" s="3"/>
      <c r="O11" s="3"/>
      <c r="P11" s="3"/>
      <c r="Q11" s="3"/>
      <c r="R11" s="3"/>
      <c r="S11" s="3"/>
    </row>
    <row r="12" spans="1:19" ht="39" x14ac:dyDescent="0.25">
      <c r="A12" s="1">
        <v>40572</v>
      </c>
      <c r="B12" s="1">
        <v>40817</v>
      </c>
      <c r="C12" s="2">
        <f t="shared" si="0"/>
        <v>246</v>
      </c>
      <c r="D12" s="6" t="s">
        <v>68</v>
      </c>
      <c r="E12" s="3" t="s">
        <v>69</v>
      </c>
      <c r="F12" s="4" t="s">
        <v>58</v>
      </c>
      <c r="G12" s="3" t="s">
        <v>70</v>
      </c>
      <c r="H12" s="3"/>
      <c r="I12" s="3" t="s">
        <v>71</v>
      </c>
      <c r="J12" s="3" t="s">
        <v>61</v>
      </c>
      <c r="K12" s="3"/>
      <c r="L12" s="3"/>
      <c r="M12" s="3"/>
      <c r="N12" s="3"/>
      <c r="O12" s="3"/>
      <c r="P12" s="3"/>
      <c r="Q12" s="3"/>
      <c r="R12" s="3"/>
      <c r="S12" s="3"/>
    </row>
    <row r="13" spans="1:19" ht="26.25" x14ac:dyDescent="0.25">
      <c r="A13" s="1">
        <v>40639</v>
      </c>
      <c r="B13" s="1">
        <v>40884</v>
      </c>
      <c r="C13" s="2">
        <f t="shared" si="0"/>
        <v>246</v>
      </c>
      <c r="D13" s="6" t="s">
        <v>116</v>
      </c>
      <c r="E13" s="3" t="s">
        <v>116</v>
      </c>
      <c r="F13" s="4" t="s">
        <v>58</v>
      </c>
      <c r="G13" s="3" t="s">
        <v>117</v>
      </c>
      <c r="H13" s="3" t="s">
        <v>118</v>
      </c>
      <c r="I13" s="3" t="s">
        <v>60</v>
      </c>
      <c r="J13" s="3" t="s">
        <v>61</v>
      </c>
      <c r="K13" s="3"/>
      <c r="L13" s="3"/>
      <c r="M13" s="3"/>
      <c r="N13" s="3"/>
      <c r="O13" s="3"/>
      <c r="P13" s="3"/>
      <c r="Q13" s="3"/>
      <c r="R13" s="3"/>
      <c r="S13" s="3"/>
    </row>
    <row r="14" spans="1:19" ht="39" x14ac:dyDescent="0.25">
      <c r="A14" s="1">
        <v>40654</v>
      </c>
      <c r="B14" s="1">
        <v>40892</v>
      </c>
      <c r="C14" s="2">
        <f t="shared" si="0"/>
        <v>239</v>
      </c>
      <c r="D14" s="6" t="s">
        <v>143</v>
      </c>
      <c r="E14" s="3" t="s">
        <v>144</v>
      </c>
      <c r="F14" s="4" t="s">
        <v>58</v>
      </c>
      <c r="G14" s="3" t="s">
        <v>145</v>
      </c>
      <c r="H14" s="3"/>
      <c r="I14" s="3" t="s">
        <v>85</v>
      </c>
      <c r="J14" s="3" t="s">
        <v>61</v>
      </c>
      <c r="K14" s="3"/>
      <c r="L14" s="3"/>
      <c r="M14" s="3"/>
      <c r="N14" s="3"/>
      <c r="O14" s="3"/>
      <c r="P14" s="3"/>
      <c r="Q14" s="3"/>
      <c r="R14" s="3"/>
      <c r="S14" s="3"/>
    </row>
    <row r="15" spans="1:19" ht="39" x14ac:dyDescent="0.25">
      <c r="A15" s="1">
        <v>40670</v>
      </c>
      <c r="B15" s="1">
        <v>40908</v>
      </c>
      <c r="C15" s="2">
        <f t="shared" si="0"/>
        <v>239</v>
      </c>
      <c r="D15" s="6" t="s">
        <v>189</v>
      </c>
      <c r="E15" s="3" t="s">
        <v>190</v>
      </c>
      <c r="F15" s="4" t="s">
        <v>58</v>
      </c>
      <c r="G15" s="3" t="s">
        <v>191</v>
      </c>
      <c r="H15" s="3" t="s">
        <v>192</v>
      </c>
      <c r="I15" s="3" t="s">
        <v>193</v>
      </c>
      <c r="J15" s="3" t="s">
        <v>61</v>
      </c>
      <c r="K15" s="3"/>
      <c r="L15" s="3"/>
      <c r="M15" s="3"/>
      <c r="N15" s="3"/>
      <c r="O15" s="3"/>
      <c r="P15" s="3"/>
      <c r="Q15" s="3"/>
      <c r="R15" s="3"/>
      <c r="S15" s="3"/>
    </row>
    <row r="16" spans="1:19" ht="26.25" x14ac:dyDescent="0.25">
      <c r="A16" s="1">
        <v>40634</v>
      </c>
      <c r="B16" s="1">
        <v>40858</v>
      </c>
      <c r="C16" s="2">
        <f t="shared" si="0"/>
        <v>225</v>
      </c>
      <c r="D16" s="6" t="s">
        <v>108</v>
      </c>
      <c r="E16" s="3" t="s">
        <v>109</v>
      </c>
      <c r="F16" s="4" t="s">
        <v>58</v>
      </c>
      <c r="G16" s="3" t="s">
        <v>110</v>
      </c>
      <c r="H16" s="3" t="s">
        <v>111</v>
      </c>
      <c r="I16" s="3" t="s">
        <v>112</v>
      </c>
      <c r="J16" s="3" t="s">
        <v>61</v>
      </c>
      <c r="K16" s="3"/>
      <c r="L16" s="3"/>
      <c r="M16" s="3"/>
      <c r="N16" s="3"/>
      <c r="O16" s="3"/>
      <c r="P16" s="3"/>
      <c r="Q16" s="3"/>
      <c r="R16" s="3"/>
      <c r="S16" s="3"/>
    </row>
    <row r="17" spans="1:19" ht="39" x14ac:dyDescent="0.25">
      <c r="A17" s="1">
        <v>40719</v>
      </c>
      <c r="B17" s="1">
        <v>40937</v>
      </c>
      <c r="C17" s="2">
        <f t="shared" si="0"/>
        <v>219</v>
      </c>
      <c r="D17" s="6" t="s">
        <v>223</v>
      </c>
      <c r="E17" s="3" t="s">
        <v>224</v>
      </c>
      <c r="F17" s="4" t="s">
        <v>58</v>
      </c>
      <c r="G17" s="3" t="s">
        <v>225</v>
      </c>
      <c r="H17" s="3" t="s">
        <v>226</v>
      </c>
      <c r="I17" s="3" t="s">
        <v>227</v>
      </c>
      <c r="J17" s="3" t="s">
        <v>61</v>
      </c>
      <c r="K17" s="3"/>
      <c r="L17" s="3"/>
      <c r="M17" s="3"/>
      <c r="N17" s="3"/>
      <c r="O17" s="3"/>
      <c r="P17" s="3"/>
      <c r="Q17" s="3"/>
      <c r="R17" s="3"/>
      <c r="S17" s="3"/>
    </row>
    <row r="18" spans="1:19" ht="26.25" x14ac:dyDescent="0.25">
      <c r="A18" s="1">
        <v>40656</v>
      </c>
      <c r="B18" s="1">
        <v>40852</v>
      </c>
      <c r="C18" s="2">
        <f t="shared" si="0"/>
        <v>197</v>
      </c>
      <c r="D18" s="6" t="s">
        <v>150</v>
      </c>
      <c r="E18" s="3" t="s">
        <v>151</v>
      </c>
      <c r="F18" s="4" t="s">
        <v>58</v>
      </c>
      <c r="G18" s="3" t="s">
        <v>152</v>
      </c>
      <c r="H18" s="3" t="s">
        <v>153</v>
      </c>
      <c r="I18" s="3" t="s">
        <v>105</v>
      </c>
      <c r="J18" s="3" t="s">
        <v>61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t="26.25" x14ac:dyDescent="0.25">
      <c r="A19" s="1">
        <v>41020</v>
      </c>
      <c r="B19" s="1">
        <v>41216</v>
      </c>
      <c r="C19" s="2">
        <f t="shared" si="0"/>
        <v>197</v>
      </c>
      <c r="D19" s="6" t="s">
        <v>3097</v>
      </c>
      <c r="E19" s="3" t="s">
        <v>151</v>
      </c>
      <c r="F19" s="4" t="s">
        <v>58</v>
      </c>
      <c r="G19" s="3" t="s">
        <v>3098</v>
      </c>
      <c r="H19" s="3"/>
      <c r="I19" s="3" t="s">
        <v>105</v>
      </c>
      <c r="J19" s="3" t="s">
        <v>61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t="51.75" x14ac:dyDescent="0.25">
      <c r="A20" s="1">
        <v>40664</v>
      </c>
      <c r="B20" s="1">
        <v>40847</v>
      </c>
      <c r="C20" s="2">
        <f t="shared" si="0"/>
        <v>184</v>
      </c>
      <c r="D20" s="6" t="s">
        <v>161</v>
      </c>
      <c r="E20" s="3" t="s">
        <v>162</v>
      </c>
      <c r="F20" s="4" t="s">
        <v>58</v>
      </c>
      <c r="G20" s="3" t="s">
        <v>163</v>
      </c>
      <c r="H20" s="3" t="s">
        <v>164</v>
      </c>
      <c r="I20" s="3" t="s">
        <v>165</v>
      </c>
      <c r="J20" s="3" t="s">
        <v>61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t="39" x14ac:dyDescent="0.25">
      <c r="A21" s="1">
        <v>40650</v>
      </c>
      <c r="B21" s="1">
        <v>40832</v>
      </c>
      <c r="C21" s="2">
        <f t="shared" si="0"/>
        <v>183</v>
      </c>
      <c r="D21" s="6" t="s">
        <v>129</v>
      </c>
      <c r="E21" s="3" t="s">
        <v>130</v>
      </c>
      <c r="F21" s="4" t="s">
        <v>58</v>
      </c>
      <c r="G21" s="3" t="s">
        <v>131</v>
      </c>
      <c r="H21" s="3" t="s">
        <v>132</v>
      </c>
      <c r="I21" s="3" t="s">
        <v>133</v>
      </c>
      <c r="J21" s="3" t="s">
        <v>61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t="51.75" x14ac:dyDescent="0.25">
      <c r="A22" s="1">
        <v>40705</v>
      </c>
      <c r="B22" s="1">
        <v>40887</v>
      </c>
      <c r="C22" s="2">
        <f t="shared" si="0"/>
        <v>183</v>
      </c>
      <c r="D22" s="6" t="s">
        <v>217</v>
      </c>
      <c r="E22" s="3" t="s">
        <v>218</v>
      </c>
      <c r="F22" s="4" t="s">
        <v>58</v>
      </c>
      <c r="G22" s="3" t="s">
        <v>219</v>
      </c>
      <c r="H22" s="3"/>
      <c r="I22" s="3" t="s">
        <v>159</v>
      </c>
      <c r="J22" s="3" t="s">
        <v>61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t="39" x14ac:dyDescent="0.25">
      <c r="A23" s="1">
        <v>40670</v>
      </c>
      <c r="B23" s="1">
        <v>40846</v>
      </c>
      <c r="C23" s="2">
        <f t="shared" si="0"/>
        <v>177</v>
      </c>
      <c r="D23" s="6" t="s">
        <v>183</v>
      </c>
      <c r="E23" s="3" t="s">
        <v>184</v>
      </c>
      <c r="F23" s="4" t="s">
        <v>58</v>
      </c>
      <c r="G23" s="3" t="s">
        <v>185</v>
      </c>
      <c r="H23" s="3"/>
      <c r="I23" s="3" t="s">
        <v>91</v>
      </c>
      <c r="J23" s="3" t="s">
        <v>61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t="39" x14ac:dyDescent="0.25">
      <c r="A24" s="1">
        <v>40670</v>
      </c>
      <c r="B24" s="1">
        <v>40845</v>
      </c>
      <c r="C24" s="2">
        <f t="shared" si="0"/>
        <v>176</v>
      </c>
      <c r="D24" s="6" t="s">
        <v>176</v>
      </c>
      <c r="E24" s="3" t="s">
        <v>177</v>
      </c>
      <c r="F24" s="4" t="s">
        <v>58</v>
      </c>
      <c r="G24" s="3" t="s">
        <v>178</v>
      </c>
      <c r="H24" s="3"/>
      <c r="I24" s="3" t="s">
        <v>179</v>
      </c>
      <c r="J24" s="3" t="s">
        <v>61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t="26.25" x14ac:dyDescent="0.25">
      <c r="A25" s="1">
        <v>40677</v>
      </c>
      <c r="B25" s="1">
        <v>40845</v>
      </c>
      <c r="C25" s="2">
        <f t="shared" si="0"/>
        <v>169</v>
      </c>
      <c r="D25" s="6" t="s">
        <v>203</v>
      </c>
      <c r="E25" s="3" t="s">
        <v>204</v>
      </c>
      <c r="F25" s="4" t="s">
        <v>58</v>
      </c>
      <c r="G25" s="3" t="s">
        <v>205</v>
      </c>
      <c r="H25" s="3"/>
      <c r="I25" s="3" t="s">
        <v>85</v>
      </c>
      <c r="J25" s="3" t="s">
        <v>61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t="39" x14ac:dyDescent="0.25">
      <c r="A26" s="1">
        <v>40670</v>
      </c>
      <c r="B26" s="1">
        <v>40832</v>
      </c>
      <c r="C26" s="2">
        <f t="shared" si="0"/>
        <v>163</v>
      </c>
      <c r="D26" s="6" t="s">
        <v>168</v>
      </c>
      <c r="E26" s="3" t="s">
        <v>169</v>
      </c>
      <c r="F26" s="4" t="s">
        <v>58</v>
      </c>
      <c r="G26" s="3" t="s">
        <v>170</v>
      </c>
      <c r="H26" s="3" t="s">
        <v>171</v>
      </c>
      <c r="I26" s="3" t="s">
        <v>172</v>
      </c>
      <c r="J26" s="3" t="s">
        <v>61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t="51.75" x14ac:dyDescent="0.25">
      <c r="A27" s="1">
        <v>41030</v>
      </c>
      <c r="B27" s="1">
        <v>41192</v>
      </c>
      <c r="C27" s="2">
        <f t="shared" si="0"/>
        <v>163</v>
      </c>
      <c r="D27" s="6" t="s">
        <v>3182</v>
      </c>
      <c r="E27" s="3" t="s">
        <v>3183</v>
      </c>
      <c r="F27" s="4" t="s">
        <v>58</v>
      </c>
      <c r="G27" s="3" t="s">
        <v>3184</v>
      </c>
      <c r="H27" s="3" t="s">
        <v>3185</v>
      </c>
      <c r="I27" s="3" t="s">
        <v>1866</v>
      </c>
      <c r="J27" s="3" t="s">
        <v>61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t="39" x14ac:dyDescent="0.25">
      <c r="A28" s="1">
        <v>40691</v>
      </c>
      <c r="B28" s="1">
        <v>40845</v>
      </c>
      <c r="C28" s="2">
        <f t="shared" si="0"/>
        <v>155</v>
      </c>
      <c r="D28" s="6" t="s">
        <v>207</v>
      </c>
      <c r="E28" s="3" t="s">
        <v>208</v>
      </c>
      <c r="F28" s="4" t="s">
        <v>58</v>
      </c>
      <c r="G28" s="3" t="s">
        <v>209</v>
      </c>
      <c r="H28" s="3"/>
      <c r="I28" s="3" t="s">
        <v>210</v>
      </c>
      <c r="J28" s="3" t="s">
        <v>61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t="39" x14ac:dyDescent="0.25">
      <c r="A29" s="1">
        <v>40664</v>
      </c>
      <c r="B29" s="1">
        <v>40817</v>
      </c>
      <c r="C29" s="2">
        <f t="shared" si="0"/>
        <v>154</v>
      </c>
      <c r="D29" s="6" t="s">
        <v>156</v>
      </c>
      <c r="E29" s="3" t="s">
        <v>157</v>
      </c>
      <c r="F29" s="4" t="s">
        <v>58</v>
      </c>
      <c r="G29" s="3" t="s">
        <v>158</v>
      </c>
      <c r="H29" s="3"/>
      <c r="I29" s="3" t="s">
        <v>159</v>
      </c>
      <c r="J29" s="3" t="s">
        <v>61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t="26.25" x14ac:dyDescent="0.25">
      <c r="A30" s="30">
        <v>41160</v>
      </c>
      <c r="B30" s="30">
        <v>41294</v>
      </c>
      <c r="C30" s="31">
        <f t="shared" si="0"/>
        <v>135</v>
      </c>
      <c r="D30" s="32" t="s">
        <v>3926</v>
      </c>
      <c r="E30" s="33" t="s">
        <v>3927</v>
      </c>
      <c r="F30" s="4" t="s">
        <v>58</v>
      </c>
      <c r="G30" s="33" t="s">
        <v>732</v>
      </c>
      <c r="H30" s="33" t="s">
        <v>2805</v>
      </c>
      <c r="I30" s="33" t="s">
        <v>60</v>
      </c>
      <c r="J30" s="33" t="s">
        <v>61</v>
      </c>
      <c r="K30" s="33"/>
      <c r="L30" s="33"/>
      <c r="M30" s="33"/>
      <c r="N30" s="33"/>
      <c r="O30" s="33"/>
      <c r="P30" s="33"/>
      <c r="Q30" s="33"/>
      <c r="R30" s="33"/>
      <c r="S30" s="33"/>
    </row>
    <row r="31" spans="1:19" ht="39" x14ac:dyDescent="0.25">
      <c r="A31" s="13">
        <v>40698</v>
      </c>
      <c r="B31" s="13">
        <v>40824</v>
      </c>
      <c r="C31" s="21">
        <f t="shared" si="0"/>
        <v>127</v>
      </c>
      <c r="D31" s="22" t="s">
        <v>189</v>
      </c>
      <c r="E31" s="9" t="s">
        <v>213</v>
      </c>
      <c r="F31" s="5" t="s">
        <v>58</v>
      </c>
      <c r="G31" s="9" t="s">
        <v>214</v>
      </c>
      <c r="H31" s="9" t="s">
        <v>215</v>
      </c>
      <c r="I31" s="9" t="s">
        <v>125</v>
      </c>
      <c r="J31" s="9" t="s">
        <v>61</v>
      </c>
      <c r="K31" s="9"/>
      <c r="L31" s="9"/>
      <c r="M31" s="9"/>
      <c r="N31" s="9"/>
      <c r="O31" s="9"/>
      <c r="P31" s="9"/>
      <c r="Q31" s="9"/>
      <c r="R31" s="9"/>
      <c r="S31" s="9"/>
    </row>
    <row r="32" spans="1:19" ht="39" x14ac:dyDescent="0.25">
      <c r="A32" s="1">
        <v>41055</v>
      </c>
      <c r="B32" s="1">
        <v>41181</v>
      </c>
      <c r="C32" s="2">
        <f t="shared" si="0"/>
        <v>127</v>
      </c>
      <c r="D32" s="6" t="s">
        <v>3330</v>
      </c>
      <c r="E32" s="3" t="s">
        <v>3331</v>
      </c>
      <c r="F32" s="4" t="s">
        <v>58</v>
      </c>
      <c r="G32" s="3" t="s">
        <v>1246</v>
      </c>
      <c r="H32" s="3"/>
      <c r="I32" s="3" t="s">
        <v>1247</v>
      </c>
      <c r="J32" s="3" t="s">
        <v>61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t="51.75" x14ac:dyDescent="0.25">
      <c r="A33" s="1">
        <v>40792</v>
      </c>
      <c r="B33" s="1">
        <v>40917</v>
      </c>
      <c r="C33" s="2">
        <f t="shared" si="0"/>
        <v>126</v>
      </c>
      <c r="D33" s="6" t="s">
        <v>288</v>
      </c>
      <c r="E33" s="3" t="s">
        <v>289</v>
      </c>
      <c r="F33" s="4" t="s">
        <v>58</v>
      </c>
      <c r="G33" s="3" t="s">
        <v>290</v>
      </c>
      <c r="H33" s="3" t="s">
        <v>291</v>
      </c>
      <c r="I33" s="3" t="s">
        <v>227</v>
      </c>
      <c r="J33" s="3" t="s">
        <v>61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t="39" x14ac:dyDescent="0.25">
      <c r="A34" s="1">
        <v>40817</v>
      </c>
      <c r="B34" s="1">
        <v>40930</v>
      </c>
      <c r="C34" s="2">
        <f t="shared" si="0"/>
        <v>114</v>
      </c>
      <c r="D34" s="6" t="s">
        <v>730</v>
      </c>
      <c r="E34" s="3" t="s">
        <v>731</v>
      </c>
      <c r="F34" s="4" t="s">
        <v>58</v>
      </c>
      <c r="G34" s="3" t="s">
        <v>732</v>
      </c>
      <c r="H34" s="3"/>
      <c r="I34" s="3" t="s">
        <v>60</v>
      </c>
      <c r="J34" s="3" t="s">
        <v>61</v>
      </c>
      <c r="K34" s="3"/>
      <c r="L34" s="3"/>
      <c r="M34" s="3"/>
      <c r="N34" s="3"/>
      <c r="O34" s="3"/>
      <c r="P34" s="3"/>
      <c r="Q34" s="3"/>
      <c r="R34" s="3"/>
      <c r="S34" s="3"/>
    </row>
    <row r="35" spans="1:19" ht="64.5" x14ac:dyDescent="0.25">
      <c r="A35" s="1">
        <v>40805</v>
      </c>
      <c r="B35" s="1">
        <v>40908</v>
      </c>
      <c r="C35" s="2">
        <f t="shared" si="0"/>
        <v>104</v>
      </c>
      <c r="D35" s="6" t="s">
        <v>328</v>
      </c>
      <c r="E35" s="3" t="s">
        <v>329</v>
      </c>
      <c r="F35" s="4" t="s">
        <v>58</v>
      </c>
      <c r="G35" s="3" t="s">
        <v>330</v>
      </c>
      <c r="H35" s="3" t="s">
        <v>331</v>
      </c>
      <c r="I35" s="3" t="s">
        <v>227</v>
      </c>
      <c r="J35" s="3" t="s">
        <v>61</v>
      </c>
      <c r="K35" s="3"/>
      <c r="L35" s="3"/>
      <c r="M35" s="3"/>
      <c r="N35" s="3"/>
      <c r="O35" s="3"/>
      <c r="P35" s="3"/>
      <c r="Q35" s="3"/>
      <c r="R35" s="3"/>
      <c r="S35" s="3"/>
    </row>
    <row r="36" spans="1:19" ht="26.25" x14ac:dyDescent="0.25">
      <c r="A36" s="1">
        <v>40806</v>
      </c>
      <c r="B36" s="1">
        <v>40909</v>
      </c>
      <c r="C36" s="2">
        <f t="shared" si="0"/>
        <v>104</v>
      </c>
      <c r="D36" s="6" t="s">
        <v>335</v>
      </c>
      <c r="E36" s="3" t="s">
        <v>335</v>
      </c>
      <c r="F36" s="4" t="s">
        <v>58</v>
      </c>
      <c r="G36" s="3" t="s">
        <v>336</v>
      </c>
      <c r="H36" s="3"/>
      <c r="I36" s="3" t="s">
        <v>60</v>
      </c>
      <c r="J36" s="3" t="s">
        <v>61</v>
      </c>
      <c r="K36" s="3"/>
      <c r="L36" s="3"/>
      <c r="M36" s="3"/>
      <c r="N36" s="3"/>
      <c r="O36" s="3"/>
      <c r="P36" s="3"/>
      <c r="Q36" s="3"/>
      <c r="R36" s="3"/>
      <c r="S36" s="3"/>
    </row>
    <row r="37" spans="1:19" ht="51.75" x14ac:dyDescent="0.25">
      <c r="A37" s="1">
        <v>41055</v>
      </c>
      <c r="B37" s="1">
        <v>41155</v>
      </c>
      <c r="C37" s="2">
        <f t="shared" si="0"/>
        <v>101</v>
      </c>
      <c r="D37" s="6" t="s">
        <v>3325</v>
      </c>
      <c r="E37" s="3" t="s">
        <v>3326</v>
      </c>
      <c r="F37" s="4" t="s">
        <v>58</v>
      </c>
      <c r="G37" s="3" t="s">
        <v>3327</v>
      </c>
      <c r="H37" s="3"/>
      <c r="I37" s="3" t="s">
        <v>125</v>
      </c>
      <c r="J37" s="3" t="s">
        <v>61</v>
      </c>
      <c r="K37" s="3"/>
      <c r="L37" s="3"/>
      <c r="M37" s="3"/>
      <c r="N37" s="3"/>
      <c r="O37" s="3"/>
      <c r="P37" s="3"/>
      <c r="Q37" s="3"/>
      <c r="R37" s="3"/>
      <c r="S37" s="3"/>
    </row>
    <row r="38" spans="1:19" ht="51.75" x14ac:dyDescent="0.25">
      <c r="A38" s="1">
        <v>41065</v>
      </c>
      <c r="B38" s="1">
        <v>41159</v>
      </c>
      <c r="C38" s="2">
        <f t="shared" si="0"/>
        <v>95</v>
      </c>
      <c r="D38" s="6" t="s">
        <v>3379</v>
      </c>
      <c r="E38" s="3" t="s">
        <v>3380</v>
      </c>
      <c r="F38" s="4" t="s">
        <v>58</v>
      </c>
      <c r="G38" s="3" t="s">
        <v>2965</v>
      </c>
      <c r="H38" s="3" t="s">
        <v>2285</v>
      </c>
      <c r="I38" s="3" t="s">
        <v>865</v>
      </c>
      <c r="J38" s="3" t="s">
        <v>61</v>
      </c>
      <c r="K38" s="3"/>
      <c r="L38" s="3"/>
      <c r="M38" s="3"/>
      <c r="N38" s="3"/>
      <c r="O38" s="3"/>
      <c r="P38" s="3"/>
      <c r="Q38" s="3"/>
      <c r="R38" s="3"/>
      <c r="S38" s="3"/>
    </row>
    <row r="39" spans="1:19" ht="26.25" x14ac:dyDescent="0.25">
      <c r="A39" s="1">
        <v>41076</v>
      </c>
      <c r="B39" s="1">
        <v>41168</v>
      </c>
      <c r="C39" s="2">
        <f t="shared" si="0"/>
        <v>93</v>
      </c>
      <c r="D39" s="6" t="s">
        <v>3474</v>
      </c>
      <c r="E39" s="3" t="s">
        <v>3474</v>
      </c>
      <c r="F39" s="4" t="s">
        <v>58</v>
      </c>
      <c r="G39" s="3" t="s">
        <v>732</v>
      </c>
      <c r="H39" s="3" t="s">
        <v>2805</v>
      </c>
      <c r="I39" s="3" t="s">
        <v>60</v>
      </c>
      <c r="J39" s="3" t="s">
        <v>61</v>
      </c>
      <c r="K39" s="3"/>
      <c r="L39" s="3"/>
      <c r="M39" s="3"/>
      <c r="N39" s="3"/>
      <c r="O39" s="3"/>
      <c r="P39" s="3"/>
      <c r="Q39" s="3"/>
      <c r="R39" s="3"/>
      <c r="S39" s="3"/>
    </row>
    <row r="40" spans="1:19" ht="51.75" x14ac:dyDescent="0.25">
      <c r="A40" s="1">
        <v>40727</v>
      </c>
      <c r="B40" s="1">
        <v>40818</v>
      </c>
      <c r="C40" s="2">
        <f t="shared" si="0"/>
        <v>92</v>
      </c>
      <c r="D40" s="6" t="s">
        <v>232</v>
      </c>
      <c r="E40" s="3" t="s">
        <v>233</v>
      </c>
      <c r="F40" s="4" t="s">
        <v>58</v>
      </c>
      <c r="G40" s="3" t="s">
        <v>234</v>
      </c>
      <c r="H40" s="3" t="s">
        <v>235</v>
      </c>
      <c r="I40" s="3" t="s">
        <v>236</v>
      </c>
      <c r="J40" s="3" t="s">
        <v>61</v>
      </c>
      <c r="K40" s="3"/>
      <c r="L40" s="3"/>
      <c r="M40" s="3"/>
      <c r="N40" s="3"/>
      <c r="O40" s="3"/>
      <c r="P40" s="3"/>
      <c r="Q40" s="3"/>
      <c r="R40" s="3"/>
      <c r="S40" s="3"/>
    </row>
    <row r="41" spans="1:19" ht="39" x14ac:dyDescent="0.25">
      <c r="A41" s="1">
        <v>40801</v>
      </c>
      <c r="B41" s="1">
        <v>40877</v>
      </c>
      <c r="C41" s="2">
        <f t="shared" si="0"/>
        <v>77</v>
      </c>
      <c r="D41" s="6" t="s">
        <v>318</v>
      </c>
      <c r="E41" s="3" t="s">
        <v>319</v>
      </c>
      <c r="F41" s="4" t="s">
        <v>58</v>
      </c>
      <c r="G41" s="3" t="s">
        <v>320</v>
      </c>
      <c r="H41" s="3" t="s">
        <v>321</v>
      </c>
      <c r="I41" s="3" t="s">
        <v>227</v>
      </c>
      <c r="J41" s="3" t="s">
        <v>61</v>
      </c>
      <c r="K41" s="3"/>
      <c r="L41" s="3"/>
      <c r="M41" s="3"/>
      <c r="N41" s="3"/>
      <c r="O41" s="3"/>
      <c r="P41" s="3"/>
      <c r="Q41" s="3"/>
      <c r="R41" s="3"/>
      <c r="S41" s="3"/>
    </row>
    <row r="42" spans="1:19" ht="26.25" x14ac:dyDescent="0.25">
      <c r="A42" s="1">
        <v>40943</v>
      </c>
      <c r="B42" s="1">
        <v>41014</v>
      </c>
      <c r="C42" s="2">
        <f t="shared" si="0"/>
        <v>72</v>
      </c>
      <c r="D42" s="6" t="s">
        <v>2804</v>
      </c>
      <c r="E42" s="3" t="s">
        <v>2804</v>
      </c>
      <c r="F42" s="4" t="s">
        <v>58</v>
      </c>
      <c r="G42" s="3" t="s">
        <v>732</v>
      </c>
      <c r="H42" s="3" t="s">
        <v>2805</v>
      </c>
      <c r="I42" s="3" t="s">
        <v>60</v>
      </c>
      <c r="J42" s="3" t="s">
        <v>61</v>
      </c>
      <c r="K42" s="3"/>
      <c r="L42" s="3"/>
      <c r="M42" s="3"/>
      <c r="N42" s="3"/>
      <c r="O42" s="3"/>
      <c r="P42" s="3"/>
      <c r="Q42" s="3"/>
      <c r="R42" s="3"/>
      <c r="S42" s="3"/>
    </row>
    <row r="43" spans="1:19" ht="51.75" x14ac:dyDescent="0.25">
      <c r="A43" s="1">
        <v>40786</v>
      </c>
      <c r="B43" s="1">
        <v>40853</v>
      </c>
      <c r="C43" s="2">
        <f t="shared" si="0"/>
        <v>68</v>
      </c>
      <c r="D43" s="6" t="s">
        <v>263</v>
      </c>
      <c r="E43" s="3" t="s">
        <v>264</v>
      </c>
      <c r="F43" s="4" t="s">
        <v>58</v>
      </c>
      <c r="G43" s="3" t="s">
        <v>265</v>
      </c>
      <c r="H43" s="3"/>
      <c r="I43" s="3" t="s">
        <v>165</v>
      </c>
      <c r="J43" s="3" t="s">
        <v>61</v>
      </c>
      <c r="K43" s="3"/>
      <c r="L43" s="3"/>
      <c r="M43" s="3"/>
      <c r="N43" s="3"/>
      <c r="O43" s="3"/>
      <c r="P43" s="3"/>
      <c r="Q43" s="3"/>
      <c r="R43" s="3"/>
      <c r="S43" s="3"/>
    </row>
    <row r="44" spans="1:19" ht="51.75" x14ac:dyDescent="0.25">
      <c r="A44" s="1">
        <v>40771</v>
      </c>
      <c r="B44" s="1">
        <v>40831</v>
      </c>
      <c r="C44" s="2">
        <f t="shared" si="0"/>
        <v>61</v>
      </c>
      <c r="D44" s="6" t="s">
        <v>258</v>
      </c>
      <c r="E44" s="3" t="s">
        <v>259</v>
      </c>
      <c r="F44" s="4" t="s">
        <v>58</v>
      </c>
      <c r="G44" s="3" t="s">
        <v>260</v>
      </c>
      <c r="H44" s="3"/>
      <c r="I44" s="3" t="s">
        <v>261</v>
      </c>
      <c r="J44" s="3" t="s">
        <v>61</v>
      </c>
      <c r="K44" s="3"/>
      <c r="L44" s="3"/>
      <c r="M44" s="3"/>
      <c r="N44" s="3"/>
      <c r="O44" s="3"/>
      <c r="P44" s="3"/>
      <c r="Q44" s="3"/>
      <c r="R44" s="3"/>
      <c r="S44" s="3"/>
    </row>
    <row r="45" spans="1:19" ht="26.25" x14ac:dyDescent="0.25">
      <c r="A45" s="1">
        <v>40850</v>
      </c>
      <c r="B45" s="1">
        <v>40908</v>
      </c>
      <c r="C45" s="2">
        <f t="shared" si="0"/>
        <v>59</v>
      </c>
      <c r="D45" s="6" t="s">
        <v>1700</v>
      </c>
      <c r="E45" s="3" t="s">
        <v>1701</v>
      </c>
      <c r="F45" s="4" t="s">
        <v>58</v>
      </c>
      <c r="G45" s="3" t="s">
        <v>1702</v>
      </c>
      <c r="H45" s="3"/>
      <c r="I45" s="3" t="s">
        <v>60</v>
      </c>
      <c r="J45" s="3" t="s">
        <v>61</v>
      </c>
      <c r="K45" s="3"/>
      <c r="L45" s="3"/>
      <c r="M45" s="3"/>
      <c r="N45" s="3"/>
      <c r="O45" s="3"/>
      <c r="P45" s="3"/>
      <c r="Q45" s="3"/>
      <c r="R45" s="3"/>
      <c r="S45" s="3"/>
    </row>
    <row r="46" spans="1:19" ht="39" x14ac:dyDescent="0.25">
      <c r="A46" s="1">
        <v>40789</v>
      </c>
      <c r="B46" s="1">
        <v>40846</v>
      </c>
      <c r="C46" s="2">
        <f t="shared" si="0"/>
        <v>58</v>
      </c>
      <c r="D46" s="6" t="s">
        <v>282</v>
      </c>
      <c r="E46" s="3" t="s">
        <v>283</v>
      </c>
      <c r="F46" s="4" t="s">
        <v>58</v>
      </c>
      <c r="G46" s="3" t="s">
        <v>284</v>
      </c>
      <c r="H46" s="3"/>
      <c r="I46" s="3" t="s">
        <v>245</v>
      </c>
      <c r="J46" s="3" t="s">
        <v>61</v>
      </c>
      <c r="K46" s="3"/>
      <c r="L46" s="3"/>
      <c r="M46" s="3"/>
      <c r="N46" s="3"/>
      <c r="O46" s="3"/>
      <c r="P46" s="3"/>
      <c r="Q46" s="3"/>
      <c r="R46" s="3"/>
      <c r="S46" s="3"/>
    </row>
    <row r="47" spans="1:19" ht="26.25" x14ac:dyDescent="0.25">
      <c r="A47" s="1">
        <v>41006</v>
      </c>
      <c r="B47" s="1">
        <v>41063</v>
      </c>
      <c r="C47" s="2">
        <f t="shared" si="0"/>
        <v>58</v>
      </c>
      <c r="D47" s="6" t="s">
        <v>3044</v>
      </c>
      <c r="E47" s="3" t="s">
        <v>3044</v>
      </c>
      <c r="F47" s="4" t="s">
        <v>58</v>
      </c>
      <c r="G47" s="3" t="s">
        <v>1269</v>
      </c>
      <c r="H47" s="3" t="s">
        <v>2805</v>
      </c>
      <c r="I47" s="3" t="s">
        <v>60</v>
      </c>
      <c r="J47" s="3" t="s">
        <v>61</v>
      </c>
      <c r="K47" s="3"/>
      <c r="L47" s="3"/>
      <c r="M47" s="3"/>
      <c r="N47" s="3"/>
      <c r="O47" s="3"/>
      <c r="P47" s="3"/>
      <c r="Q47" s="3"/>
      <c r="R47" s="3"/>
      <c r="S47" s="3"/>
    </row>
    <row r="48" spans="1:19" ht="39" x14ac:dyDescent="0.25">
      <c r="A48" s="1">
        <v>40789</v>
      </c>
      <c r="B48" s="1">
        <v>40845</v>
      </c>
      <c r="C48" s="2">
        <f t="shared" si="0"/>
        <v>57</v>
      </c>
      <c r="D48" s="6" t="s">
        <v>269</v>
      </c>
      <c r="E48" s="3" t="s">
        <v>270</v>
      </c>
      <c r="F48" s="5" t="s">
        <v>58</v>
      </c>
      <c r="G48" s="3" t="s">
        <v>271</v>
      </c>
      <c r="H48" s="3"/>
      <c r="I48" s="3" t="s">
        <v>210</v>
      </c>
      <c r="J48" s="3" t="s">
        <v>61</v>
      </c>
      <c r="K48" s="3"/>
      <c r="L48" s="3"/>
      <c r="M48" s="3"/>
      <c r="N48" s="3"/>
      <c r="O48" s="3"/>
      <c r="P48" s="3"/>
      <c r="Q48" s="3"/>
      <c r="R48" s="3"/>
      <c r="S48" s="3"/>
    </row>
    <row r="49" spans="1:19" ht="51.75" x14ac:dyDescent="0.25">
      <c r="A49" s="1">
        <v>40789</v>
      </c>
      <c r="B49" s="1">
        <v>40845</v>
      </c>
      <c r="C49" s="2">
        <f t="shared" si="0"/>
        <v>57</v>
      </c>
      <c r="D49" s="6" t="s">
        <v>277</v>
      </c>
      <c r="E49" s="3" t="s">
        <v>278</v>
      </c>
      <c r="F49" s="5" t="s">
        <v>58</v>
      </c>
      <c r="G49" s="3" t="s">
        <v>279</v>
      </c>
      <c r="H49" s="3"/>
      <c r="I49" s="3" t="s">
        <v>210</v>
      </c>
      <c r="J49" s="3" t="s">
        <v>61</v>
      </c>
      <c r="K49" s="3"/>
      <c r="L49" s="3"/>
      <c r="M49" s="3"/>
      <c r="N49" s="3"/>
      <c r="O49" s="3"/>
      <c r="P49" s="3"/>
      <c r="Q49" s="3"/>
      <c r="R49" s="3"/>
      <c r="S49" s="3"/>
    </row>
    <row r="50" spans="1:19" ht="51.75" x14ac:dyDescent="0.25">
      <c r="A50" s="1">
        <v>40789</v>
      </c>
      <c r="B50" s="1">
        <v>40845</v>
      </c>
      <c r="C50" s="2">
        <f t="shared" si="0"/>
        <v>57</v>
      </c>
      <c r="D50" s="6" t="s">
        <v>280</v>
      </c>
      <c r="E50" s="3" t="s">
        <v>281</v>
      </c>
      <c r="F50" s="4" t="s">
        <v>58</v>
      </c>
      <c r="G50" s="3" t="s">
        <v>271</v>
      </c>
      <c r="H50" s="3"/>
      <c r="I50" s="3" t="s">
        <v>210</v>
      </c>
      <c r="J50" s="3" t="s">
        <v>61</v>
      </c>
      <c r="K50" s="3"/>
      <c r="L50" s="3"/>
      <c r="M50" s="3"/>
      <c r="N50" s="3"/>
      <c r="O50" s="3"/>
      <c r="P50" s="3"/>
      <c r="Q50" s="3"/>
      <c r="R50" s="3"/>
      <c r="S50" s="3"/>
    </row>
    <row r="51" spans="1:19" ht="51.75" x14ac:dyDescent="0.25">
      <c r="A51" s="1">
        <v>40825</v>
      </c>
      <c r="B51" s="1">
        <v>40881</v>
      </c>
      <c r="C51" s="2">
        <f t="shared" si="0"/>
        <v>57</v>
      </c>
      <c r="D51" s="6" t="s">
        <v>1135</v>
      </c>
      <c r="E51" s="3" t="s">
        <v>1136</v>
      </c>
      <c r="F51" s="5" t="s">
        <v>58</v>
      </c>
      <c r="G51" s="3" t="s">
        <v>251</v>
      </c>
      <c r="H51" s="3" t="s">
        <v>252</v>
      </c>
      <c r="I51" s="3" t="s">
        <v>253</v>
      </c>
      <c r="J51" s="3" t="s">
        <v>61</v>
      </c>
      <c r="K51" s="3"/>
      <c r="L51" s="3"/>
      <c r="M51" s="3"/>
      <c r="N51" s="3"/>
      <c r="O51" s="3"/>
      <c r="P51" s="3"/>
      <c r="Q51" s="3"/>
      <c r="R51" s="3"/>
      <c r="S51" s="3"/>
    </row>
    <row r="52" spans="1:19" ht="51.75" x14ac:dyDescent="0.25">
      <c r="A52" s="1">
        <v>40823</v>
      </c>
      <c r="B52" s="1">
        <v>40877</v>
      </c>
      <c r="C52" s="2">
        <f t="shared" si="0"/>
        <v>55</v>
      </c>
      <c r="D52" s="6" t="s">
        <v>936</v>
      </c>
      <c r="E52" s="3" t="s">
        <v>937</v>
      </c>
      <c r="F52" s="4" t="s">
        <v>58</v>
      </c>
      <c r="G52" s="3" t="s">
        <v>938</v>
      </c>
      <c r="H52" s="3"/>
      <c r="I52" s="3" t="s">
        <v>60</v>
      </c>
      <c r="J52" s="3" t="s">
        <v>61</v>
      </c>
      <c r="K52" s="3"/>
      <c r="L52" s="3"/>
      <c r="M52" s="3"/>
      <c r="N52" s="3"/>
      <c r="O52" s="3"/>
      <c r="P52" s="3"/>
      <c r="Q52" s="3"/>
      <c r="R52" s="3"/>
      <c r="S52" s="3"/>
    </row>
    <row r="53" spans="1:19" ht="39" x14ac:dyDescent="0.25">
      <c r="A53" s="1">
        <v>40848</v>
      </c>
      <c r="B53" s="1">
        <v>40900</v>
      </c>
      <c r="C53" s="2">
        <f t="shared" si="0"/>
        <v>53</v>
      </c>
      <c r="D53" s="6" t="s">
        <v>1683</v>
      </c>
      <c r="E53" s="3" t="s">
        <v>1684</v>
      </c>
      <c r="F53" s="5" t="s">
        <v>58</v>
      </c>
      <c r="G53" s="3" t="s">
        <v>1685</v>
      </c>
      <c r="H53" s="3"/>
      <c r="I53" s="3" t="s">
        <v>105</v>
      </c>
      <c r="J53" s="3" t="s">
        <v>61</v>
      </c>
      <c r="K53" s="3"/>
      <c r="L53" s="3"/>
      <c r="M53" s="3"/>
      <c r="N53" s="3"/>
      <c r="O53" s="3"/>
      <c r="P53" s="3"/>
      <c r="Q53" s="3"/>
      <c r="R53" s="3"/>
      <c r="S53" s="3"/>
    </row>
    <row r="54" spans="1:19" ht="51.75" x14ac:dyDescent="0.25">
      <c r="A54" s="1">
        <v>40767</v>
      </c>
      <c r="B54" s="1">
        <v>40818</v>
      </c>
      <c r="C54" s="2">
        <f t="shared" si="0"/>
        <v>52</v>
      </c>
      <c r="D54" s="6" t="s">
        <v>249</v>
      </c>
      <c r="E54" s="3" t="s">
        <v>250</v>
      </c>
      <c r="F54" s="4" t="s">
        <v>58</v>
      </c>
      <c r="G54" s="3" t="s">
        <v>251</v>
      </c>
      <c r="H54" s="3" t="s">
        <v>252</v>
      </c>
      <c r="I54" s="3" t="s">
        <v>253</v>
      </c>
      <c r="J54" s="3" t="s">
        <v>61</v>
      </c>
      <c r="K54" s="3"/>
      <c r="L54" s="3"/>
      <c r="M54" s="3"/>
      <c r="N54" s="3"/>
      <c r="O54" s="3"/>
      <c r="P54" s="3"/>
      <c r="Q54" s="3"/>
      <c r="R54" s="3"/>
      <c r="S54" s="3"/>
    </row>
    <row r="55" spans="1:19" ht="51.75" x14ac:dyDescent="0.25">
      <c r="A55" s="1">
        <v>40852</v>
      </c>
      <c r="B55" s="1">
        <v>40903</v>
      </c>
      <c r="C55" s="2">
        <f t="shared" si="0"/>
        <v>52</v>
      </c>
      <c r="D55" s="6" t="s">
        <v>1822</v>
      </c>
      <c r="E55" s="3" t="s">
        <v>1823</v>
      </c>
      <c r="F55" s="5" t="s">
        <v>58</v>
      </c>
      <c r="G55" s="3" t="s">
        <v>302</v>
      </c>
      <c r="H55" s="3" t="s">
        <v>1824</v>
      </c>
      <c r="I55" s="3" t="s">
        <v>303</v>
      </c>
      <c r="J55" s="3" t="s">
        <v>61</v>
      </c>
      <c r="K55" s="3"/>
      <c r="L55" s="3"/>
      <c r="M55" s="3"/>
      <c r="N55" s="3"/>
      <c r="O55" s="3"/>
      <c r="P55" s="3"/>
      <c r="Q55" s="3"/>
      <c r="R55" s="3"/>
      <c r="S55" s="3"/>
    </row>
    <row r="56" spans="1:19" ht="51.75" x14ac:dyDescent="0.25">
      <c r="A56" s="1">
        <v>40888</v>
      </c>
      <c r="B56" s="1">
        <v>40937</v>
      </c>
      <c r="C56" s="2">
        <f t="shared" si="0"/>
        <v>50</v>
      </c>
      <c r="D56" s="6" t="s">
        <v>2627</v>
      </c>
      <c r="E56" s="3" t="s">
        <v>2628</v>
      </c>
      <c r="F56" s="5" t="s">
        <v>58</v>
      </c>
      <c r="G56" s="3" t="s">
        <v>251</v>
      </c>
      <c r="H56" s="3" t="s">
        <v>252</v>
      </c>
      <c r="I56" s="3" t="s">
        <v>253</v>
      </c>
      <c r="J56" s="3" t="s">
        <v>61</v>
      </c>
      <c r="K56" s="3"/>
      <c r="L56" s="3"/>
      <c r="M56" s="3"/>
      <c r="N56" s="3"/>
      <c r="O56" s="3"/>
      <c r="P56" s="3"/>
      <c r="Q56" s="3"/>
      <c r="R56" s="3"/>
      <c r="S56" s="3"/>
    </row>
    <row r="57" spans="1:19" ht="51.75" x14ac:dyDescent="0.25">
      <c r="A57" s="1">
        <v>40980</v>
      </c>
      <c r="B57" s="1">
        <v>41027</v>
      </c>
      <c r="C57" s="2">
        <f t="shared" si="0"/>
        <v>48</v>
      </c>
      <c r="D57" s="6" t="s">
        <v>2963</v>
      </c>
      <c r="E57" s="3" t="s">
        <v>2964</v>
      </c>
      <c r="F57" s="5" t="s">
        <v>58</v>
      </c>
      <c r="G57" s="3" t="s">
        <v>2965</v>
      </c>
      <c r="H57" s="3" t="s">
        <v>2285</v>
      </c>
      <c r="I57" s="3" t="s">
        <v>865</v>
      </c>
      <c r="J57" s="3" t="s">
        <v>61</v>
      </c>
      <c r="K57" s="3"/>
      <c r="L57" s="3"/>
      <c r="M57" s="3"/>
      <c r="N57" s="3"/>
      <c r="O57" s="3"/>
      <c r="P57" s="3"/>
      <c r="Q57" s="3"/>
      <c r="R57" s="3"/>
      <c r="S57" s="3"/>
    </row>
    <row r="58" spans="1:19" ht="39" x14ac:dyDescent="0.25">
      <c r="A58" s="1">
        <v>40803</v>
      </c>
      <c r="B58" s="1">
        <v>40847</v>
      </c>
      <c r="C58" s="2">
        <f t="shared" si="0"/>
        <v>45</v>
      </c>
      <c r="D58" s="6" t="s">
        <v>322</v>
      </c>
      <c r="E58" s="3" t="s">
        <v>323</v>
      </c>
      <c r="F58" s="5" t="s">
        <v>58</v>
      </c>
      <c r="G58" s="3" t="s">
        <v>324</v>
      </c>
      <c r="H58" s="3"/>
      <c r="I58" s="3" t="s">
        <v>325</v>
      </c>
      <c r="J58" s="3" t="s">
        <v>61</v>
      </c>
      <c r="K58" s="3"/>
      <c r="L58" s="3"/>
      <c r="M58" s="3"/>
      <c r="N58" s="3"/>
      <c r="O58" s="3"/>
      <c r="P58" s="3"/>
      <c r="Q58" s="3"/>
      <c r="R58" s="3"/>
      <c r="S58" s="3"/>
    </row>
    <row r="59" spans="1:19" ht="39" x14ac:dyDescent="0.25">
      <c r="A59" s="30">
        <v>40872</v>
      </c>
      <c r="B59" s="30">
        <v>40916</v>
      </c>
      <c r="C59" s="31">
        <f t="shared" si="0"/>
        <v>45</v>
      </c>
      <c r="D59" s="32" t="s">
        <v>2116</v>
      </c>
      <c r="E59" s="33" t="s">
        <v>2117</v>
      </c>
      <c r="F59" s="5" t="s">
        <v>58</v>
      </c>
      <c r="G59" s="33" t="s">
        <v>2118</v>
      </c>
      <c r="H59" s="33" t="s">
        <v>2119</v>
      </c>
      <c r="I59" s="33" t="s">
        <v>227</v>
      </c>
      <c r="J59" s="33" t="s">
        <v>61</v>
      </c>
      <c r="K59" s="33"/>
      <c r="L59" s="33"/>
      <c r="M59" s="33"/>
      <c r="N59" s="33"/>
      <c r="O59" s="33"/>
      <c r="P59" s="33"/>
      <c r="Q59" s="33"/>
      <c r="R59" s="33"/>
      <c r="S59" s="33"/>
    </row>
    <row r="60" spans="1:19" ht="39" x14ac:dyDescent="0.25">
      <c r="A60" s="13">
        <v>40809</v>
      </c>
      <c r="B60" s="13">
        <v>40852</v>
      </c>
      <c r="C60" s="21">
        <f t="shared" si="0"/>
        <v>44</v>
      </c>
      <c r="D60" s="22" t="s">
        <v>370</v>
      </c>
      <c r="E60" s="9" t="s">
        <v>371</v>
      </c>
      <c r="F60" s="5" t="s">
        <v>58</v>
      </c>
      <c r="G60" s="9" t="s">
        <v>372</v>
      </c>
      <c r="H60" s="9"/>
      <c r="I60" s="9" t="s">
        <v>303</v>
      </c>
      <c r="J60" s="9" t="s">
        <v>61</v>
      </c>
      <c r="K60" s="9"/>
      <c r="L60" s="9"/>
      <c r="M60" s="9"/>
      <c r="N60" s="9"/>
      <c r="O60" s="9"/>
      <c r="P60" s="9"/>
      <c r="Q60" s="9"/>
      <c r="R60" s="9"/>
      <c r="S60" s="9"/>
    </row>
    <row r="61" spans="1:19" ht="39" x14ac:dyDescent="0.25">
      <c r="A61" s="1">
        <v>40865</v>
      </c>
      <c r="B61" s="1">
        <v>40908</v>
      </c>
      <c r="C61" s="2">
        <f t="shared" si="0"/>
        <v>44</v>
      </c>
      <c r="D61" s="6" t="s">
        <v>1983</v>
      </c>
      <c r="E61" s="3" t="s">
        <v>1984</v>
      </c>
      <c r="F61" s="5" t="s">
        <v>58</v>
      </c>
      <c r="G61" s="3" t="s">
        <v>907</v>
      </c>
      <c r="H61" s="3" t="s">
        <v>1985</v>
      </c>
      <c r="I61" s="3" t="s">
        <v>60</v>
      </c>
      <c r="J61" s="3" t="s">
        <v>61</v>
      </c>
      <c r="K61" s="3"/>
      <c r="L61" s="3"/>
      <c r="M61" s="3"/>
      <c r="N61" s="3"/>
      <c r="O61" s="3"/>
      <c r="P61" s="3"/>
      <c r="Q61" s="3"/>
      <c r="R61" s="3"/>
      <c r="S61" s="3"/>
    </row>
    <row r="62" spans="1:19" ht="39" x14ac:dyDescent="0.25">
      <c r="A62" s="1">
        <v>40880</v>
      </c>
      <c r="B62" s="1">
        <v>40923</v>
      </c>
      <c r="C62" s="2">
        <f t="shared" si="0"/>
        <v>44</v>
      </c>
      <c r="D62" s="6" t="s">
        <v>2486</v>
      </c>
      <c r="E62" s="3" t="s">
        <v>2487</v>
      </c>
      <c r="F62" s="5" t="s">
        <v>58</v>
      </c>
      <c r="G62" s="3" t="s">
        <v>284</v>
      </c>
      <c r="H62" s="3"/>
      <c r="I62" s="3" t="s">
        <v>245</v>
      </c>
      <c r="J62" s="3" t="s">
        <v>61</v>
      </c>
      <c r="K62" s="3"/>
      <c r="L62" s="3"/>
      <c r="M62" s="3"/>
      <c r="N62" s="3"/>
      <c r="O62" s="3"/>
      <c r="P62" s="3"/>
      <c r="Q62" s="3"/>
      <c r="R62" s="3"/>
      <c r="S62" s="3"/>
    </row>
    <row r="63" spans="1:19" ht="39" x14ac:dyDescent="0.25">
      <c r="A63" s="1">
        <v>41126</v>
      </c>
      <c r="B63" s="1">
        <v>41169</v>
      </c>
      <c r="C63" s="2">
        <f t="shared" si="0"/>
        <v>44</v>
      </c>
      <c r="D63" s="6" t="s">
        <v>3794</v>
      </c>
      <c r="E63" s="3" t="s">
        <v>3795</v>
      </c>
      <c r="F63" s="5" t="s">
        <v>58</v>
      </c>
      <c r="G63" s="3" t="s">
        <v>372</v>
      </c>
      <c r="H63" s="3"/>
      <c r="I63" s="3" t="s">
        <v>303</v>
      </c>
      <c r="J63" s="3" t="s">
        <v>61</v>
      </c>
      <c r="K63" s="3"/>
      <c r="L63" s="3"/>
      <c r="M63" s="3"/>
      <c r="N63" s="3"/>
      <c r="O63" s="3"/>
      <c r="P63" s="3"/>
      <c r="Q63" s="3"/>
      <c r="R63" s="3"/>
      <c r="S63" s="3"/>
    </row>
    <row r="64" spans="1:19" ht="39" x14ac:dyDescent="0.25">
      <c r="A64" s="1">
        <v>40796</v>
      </c>
      <c r="B64" s="1">
        <v>40838</v>
      </c>
      <c r="C64" s="2">
        <f t="shared" si="0"/>
        <v>43</v>
      </c>
      <c r="D64" s="6" t="s">
        <v>300</v>
      </c>
      <c r="E64" s="3" t="s">
        <v>301</v>
      </c>
      <c r="F64" s="5" t="s">
        <v>58</v>
      </c>
      <c r="G64" s="3" t="s">
        <v>302</v>
      </c>
      <c r="H64" s="3"/>
      <c r="I64" s="3" t="s">
        <v>303</v>
      </c>
      <c r="J64" s="3" t="s">
        <v>61</v>
      </c>
      <c r="K64" s="3"/>
      <c r="L64" s="3"/>
      <c r="M64" s="3"/>
      <c r="N64" s="3"/>
      <c r="O64" s="3"/>
      <c r="P64" s="3"/>
      <c r="Q64" s="3"/>
      <c r="R64" s="3"/>
      <c r="S64" s="3"/>
    </row>
    <row r="65" spans="1:19" ht="51.75" x14ac:dyDescent="0.25">
      <c r="A65" s="1">
        <v>40866</v>
      </c>
      <c r="B65" s="1">
        <v>40908</v>
      </c>
      <c r="C65" s="2">
        <f t="shared" ref="C65:C128" si="1">(B65-A65)+1</f>
        <v>43</v>
      </c>
      <c r="D65" s="6" t="s">
        <v>2044</v>
      </c>
      <c r="E65" s="3" t="s">
        <v>2045</v>
      </c>
      <c r="F65" s="4" t="s">
        <v>58</v>
      </c>
      <c r="G65" s="3" t="s">
        <v>2046</v>
      </c>
      <c r="H65" s="3"/>
      <c r="I65" s="3" t="s">
        <v>2047</v>
      </c>
      <c r="J65" s="3" t="s">
        <v>61</v>
      </c>
      <c r="K65" s="3"/>
      <c r="L65" s="3"/>
      <c r="M65" s="3"/>
      <c r="N65" s="3"/>
      <c r="O65" s="3"/>
      <c r="P65" s="3"/>
      <c r="Q65" s="3"/>
      <c r="R65" s="3"/>
      <c r="S65" s="3"/>
    </row>
    <row r="66" spans="1:19" ht="64.5" x14ac:dyDescent="0.25">
      <c r="A66" s="1">
        <v>40863</v>
      </c>
      <c r="B66" s="1">
        <v>40903</v>
      </c>
      <c r="C66" s="2">
        <f t="shared" si="1"/>
        <v>41</v>
      </c>
      <c r="D66" s="6" t="s">
        <v>1974</v>
      </c>
      <c r="E66" s="3" t="s">
        <v>1975</v>
      </c>
      <c r="F66" s="5" t="s">
        <v>58</v>
      </c>
      <c r="G66" s="3" t="s">
        <v>752</v>
      </c>
      <c r="H66" s="3" t="s">
        <v>753</v>
      </c>
      <c r="I66" s="3" t="s">
        <v>193</v>
      </c>
      <c r="J66" s="3" t="s">
        <v>61</v>
      </c>
      <c r="K66" s="3"/>
      <c r="L66" s="3"/>
      <c r="M66" s="3"/>
      <c r="N66" s="3"/>
      <c r="O66" s="3"/>
      <c r="P66" s="3"/>
      <c r="Q66" s="3"/>
      <c r="R66" s="3"/>
      <c r="S66" s="3"/>
    </row>
    <row r="67" spans="1:19" ht="26.25" x14ac:dyDescent="0.25">
      <c r="A67" s="1">
        <v>40867</v>
      </c>
      <c r="B67" s="1">
        <v>40907</v>
      </c>
      <c r="C67" s="2">
        <f t="shared" si="1"/>
        <v>41</v>
      </c>
      <c r="D67" s="6" t="s">
        <v>2070</v>
      </c>
      <c r="E67" s="3" t="s">
        <v>2071</v>
      </c>
      <c r="F67" s="5" t="s">
        <v>58</v>
      </c>
      <c r="G67" s="3" t="s">
        <v>2072</v>
      </c>
      <c r="H67" s="3" t="s">
        <v>503</v>
      </c>
      <c r="I67" s="3" t="s">
        <v>505</v>
      </c>
      <c r="J67" s="3" t="s">
        <v>61</v>
      </c>
      <c r="K67" s="3"/>
      <c r="L67" s="3"/>
      <c r="M67" s="3"/>
      <c r="N67" s="3"/>
      <c r="O67" s="3"/>
      <c r="P67" s="3"/>
      <c r="Q67" s="3"/>
      <c r="R67" s="3"/>
      <c r="S67" s="3"/>
    </row>
    <row r="68" spans="1:19" ht="51.75" x14ac:dyDescent="0.25">
      <c r="A68" s="1">
        <v>40847</v>
      </c>
      <c r="B68" s="1">
        <v>40886</v>
      </c>
      <c r="C68" s="2">
        <f t="shared" si="1"/>
        <v>40</v>
      </c>
      <c r="D68" s="6" t="s">
        <v>1673</v>
      </c>
      <c r="E68" s="3" t="s">
        <v>1674</v>
      </c>
      <c r="F68" s="5" t="s">
        <v>58</v>
      </c>
      <c r="G68" s="3" t="s">
        <v>1675</v>
      </c>
      <c r="H68" s="3"/>
      <c r="I68" s="3" t="s">
        <v>1676</v>
      </c>
      <c r="J68" s="3" t="s">
        <v>61</v>
      </c>
      <c r="K68" s="3"/>
      <c r="L68" s="3"/>
      <c r="M68" s="3"/>
      <c r="N68" s="3"/>
      <c r="O68" s="3"/>
      <c r="P68" s="3"/>
      <c r="Q68" s="3"/>
      <c r="R68" s="3"/>
      <c r="S68" s="3"/>
    </row>
    <row r="69" spans="1:19" ht="51.75" x14ac:dyDescent="0.25">
      <c r="A69" s="1">
        <v>40847</v>
      </c>
      <c r="B69" s="1">
        <v>40886</v>
      </c>
      <c r="C69" s="2">
        <f t="shared" si="1"/>
        <v>40</v>
      </c>
      <c r="D69" s="6" t="s">
        <v>1680</v>
      </c>
      <c r="E69" s="3" t="s">
        <v>312</v>
      </c>
      <c r="F69" s="5" t="s">
        <v>58</v>
      </c>
      <c r="G69" s="3" t="s">
        <v>1681</v>
      </c>
      <c r="H69" s="3" t="s">
        <v>1682</v>
      </c>
      <c r="I69" s="3" t="s">
        <v>1676</v>
      </c>
      <c r="J69" s="3" t="s">
        <v>61</v>
      </c>
      <c r="K69" s="3"/>
      <c r="L69" s="3"/>
      <c r="M69" s="3"/>
      <c r="N69" s="3"/>
      <c r="O69" s="3"/>
      <c r="P69" s="3"/>
      <c r="Q69" s="3"/>
      <c r="R69" s="3"/>
      <c r="S69" s="3"/>
    </row>
    <row r="70" spans="1:19" ht="51.75" x14ac:dyDescent="0.25">
      <c r="A70" s="1">
        <v>40799</v>
      </c>
      <c r="B70" s="1">
        <v>40837</v>
      </c>
      <c r="C70" s="2">
        <f t="shared" si="1"/>
        <v>39</v>
      </c>
      <c r="D70" s="6" t="s">
        <v>311</v>
      </c>
      <c r="E70" s="3" t="s">
        <v>312</v>
      </c>
      <c r="F70" s="5" t="s">
        <v>58</v>
      </c>
      <c r="G70" s="3" t="s">
        <v>313</v>
      </c>
      <c r="H70" s="3" t="s">
        <v>314</v>
      </c>
      <c r="I70" s="3" t="s">
        <v>315</v>
      </c>
      <c r="J70" s="3" t="s">
        <v>61</v>
      </c>
      <c r="K70" s="3"/>
      <c r="L70" s="3"/>
      <c r="M70" s="3"/>
      <c r="N70" s="3"/>
      <c r="O70" s="3"/>
      <c r="P70" s="3"/>
      <c r="Q70" s="3"/>
      <c r="R70" s="3"/>
      <c r="S70" s="3"/>
    </row>
    <row r="71" spans="1:19" ht="51.75" x14ac:dyDescent="0.25">
      <c r="A71" s="1">
        <v>40809</v>
      </c>
      <c r="B71" s="1">
        <v>40847</v>
      </c>
      <c r="C71" s="2">
        <f t="shared" si="1"/>
        <v>39</v>
      </c>
      <c r="D71" s="6" t="s">
        <v>361</v>
      </c>
      <c r="E71" s="3" t="s">
        <v>362</v>
      </c>
      <c r="F71" s="5" t="s">
        <v>58</v>
      </c>
      <c r="G71" s="3" t="s">
        <v>363</v>
      </c>
      <c r="H71" s="3" t="s">
        <v>364</v>
      </c>
      <c r="I71" s="3" t="s">
        <v>365</v>
      </c>
      <c r="J71" s="3" t="s">
        <v>61</v>
      </c>
      <c r="K71" s="3"/>
      <c r="L71" s="3"/>
      <c r="M71" s="3"/>
      <c r="N71" s="3"/>
      <c r="O71" s="3"/>
      <c r="P71" s="3"/>
      <c r="Q71" s="3"/>
      <c r="R71" s="3"/>
      <c r="S71" s="3"/>
    </row>
    <row r="72" spans="1:19" ht="64.5" x14ac:dyDescent="0.25">
      <c r="A72" s="1">
        <v>40870</v>
      </c>
      <c r="B72" s="1">
        <v>40908</v>
      </c>
      <c r="C72" s="2">
        <f t="shared" si="1"/>
        <v>39</v>
      </c>
      <c r="D72" s="6" t="s">
        <v>2081</v>
      </c>
      <c r="E72" s="3" t="s">
        <v>2082</v>
      </c>
      <c r="F72" s="5" t="s">
        <v>58</v>
      </c>
      <c r="G72" s="3" t="s">
        <v>2083</v>
      </c>
      <c r="H72" s="3" t="s">
        <v>2084</v>
      </c>
      <c r="I72" s="3" t="s">
        <v>193</v>
      </c>
      <c r="J72" s="3" t="s">
        <v>61</v>
      </c>
      <c r="K72" s="3"/>
      <c r="L72" s="3"/>
      <c r="M72" s="3"/>
      <c r="N72" s="3"/>
      <c r="O72" s="3"/>
      <c r="P72" s="3"/>
      <c r="Q72" s="3"/>
      <c r="R72" s="3"/>
      <c r="S72" s="3"/>
    </row>
    <row r="73" spans="1:19" ht="39" x14ac:dyDescent="0.25">
      <c r="A73" s="1">
        <v>40809</v>
      </c>
      <c r="B73" s="1">
        <v>40846</v>
      </c>
      <c r="C73" s="2">
        <f t="shared" si="1"/>
        <v>38</v>
      </c>
      <c r="D73" s="6" t="s">
        <v>353</v>
      </c>
      <c r="E73" s="3" t="s">
        <v>354</v>
      </c>
      <c r="F73" s="5" t="s">
        <v>58</v>
      </c>
      <c r="G73" s="3" t="s">
        <v>355</v>
      </c>
      <c r="H73" s="3" t="s">
        <v>356</v>
      </c>
      <c r="I73" s="3" t="s">
        <v>357</v>
      </c>
      <c r="J73" s="3" t="s">
        <v>61</v>
      </c>
      <c r="K73" s="3"/>
      <c r="L73" s="3"/>
      <c r="M73" s="3"/>
      <c r="N73" s="3"/>
      <c r="O73" s="3"/>
      <c r="P73" s="3"/>
      <c r="Q73" s="3"/>
      <c r="R73" s="3"/>
      <c r="S73" s="3"/>
    </row>
    <row r="74" spans="1:19" ht="51.75" x14ac:dyDescent="0.25">
      <c r="A74" s="1">
        <v>40810</v>
      </c>
      <c r="B74" s="1">
        <v>40847</v>
      </c>
      <c r="C74" s="2">
        <f t="shared" si="1"/>
        <v>38</v>
      </c>
      <c r="D74" s="6" t="s">
        <v>392</v>
      </c>
      <c r="E74" s="3" t="s">
        <v>393</v>
      </c>
      <c r="F74" s="5" t="s">
        <v>58</v>
      </c>
      <c r="G74" s="3" t="s">
        <v>394</v>
      </c>
      <c r="H74" s="3"/>
      <c r="I74" s="3" t="s">
        <v>159</v>
      </c>
      <c r="J74" s="3" t="s">
        <v>61</v>
      </c>
      <c r="K74" s="3"/>
      <c r="L74" s="3"/>
      <c r="M74" s="3"/>
      <c r="N74" s="3"/>
      <c r="O74" s="3"/>
      <c r="P74" s="3"/>
      <c r="Q74" s="3"/>
      <c r="R74" s="3"/>
      <c r="S74" s="3"/>
    </row>
    <row r="75" spans="1:19" ht="51.75" x14ac:dyDescent="0.25">
      <c r="A75" s="1">
        <v>40810</v>
      </c>
      <c r="B75" s="1">
        <v>40847</v>
      </c>
      <c r="C75" s="2">
        <f t="shared" si="1"/>
        <v>38</v>
      </c>
      <c r="D75" s="6" t="s">
        <v>392</v>
      </c>
      <c r="E75" s="3" t="s">
        <v>393</v>
      </c>
      <c r="F75" s="5" t="s">
        <v>58</v>
      </c>
      <c r="G75" s="3" t="s">
        <v>394</v>
      </c>
      <c r="H75" s="3"/>
      <c r="I75" s="3" t="s">
        <v>159</v>
      </c>
      <c r="J75" s="3" t="s">
        <v>61</v>
      </c>
      <c r="K75" s="3"/>
      <c r="L75" s="3"/>
      <c r="M75" s="3"/>
      <c r="N75" s="3"/>
      <c r="O75" s="3"/>
      <c r="P75" s="3"/>
      <c r="Q75" s="3"/>
      <c r="R75" s="3"/>
      <c r="S75" s="3"/>
    </row>
    <row r="76" spans="1:19" ht="51.75" x14ac:dyDescent="0.25">
      <c r="A76" s="1">
        <v>40810</v>
      </c>
      <c r="B76" s="1">
        <v>40847</v>
      </c>
      <c r="C76" s="2">
        <f t="shared" si="1"/>
        <v>38</v>
      </c>
      <c r="D76" s="6" t="s">
        <v>397</v>
      </c>
      <c r="E76" s="3" t="s">
        <v>398</v>
      </c>
      <c r="F76" s="5" t="s">
        <v>58</v>
      </c>
      <c r="G76" s="3" t="s">
        <v>399</v>
      </c>
      <c r="H76" s="3"/>
      <c r="I76" s="3" t="s">
        <v>400</v>
      </c>
      <c r="J76" s="3" t="s">
        <v>61</v>
      </c>
      <c r="K76" s="3"/>
      <c r="L76" s="3"/>
      <c r="M76" s="3"/>
      <c r="N76" s="3"/>
      <c r="O76" s="3"/>
      <c r="P76" s="3"/>
      <c r="Q76" s="3"/>
      <c r="R76" s="3"/>
      <c r="S76" s="3"/>
    </row>
    <row r="77" spans="1:19" ht="39" x14ac:dyDescent="0.25">
      <c r="A77" s="1">
        <v>40810</v>
      </c>
      <c r="B77" s="1">
        <v>40846</v>
      </c>
      <c r="C77" s="2">
        <f t="shared" si="1"/>
        <v>37</v>
      </c>
      <c r="D77" s="6" t="s">
        <v>375</v>
      </c>
      <c r="E77" s="3" t="s">
        <v>376</v>
      </c>
      <c r="F77" s="5" t="s">
        <v>58</v>
      </c>
      <c r="G77" s="3" t="s">
        <v>377</v>
      </c>
      <c r="H77" s="3"/>
      <c r="I77" s="3" t="s">
        <v>378</v>
      </c>
      <c r="J77" s="3" t="s">
        <v>61</v>
      </c>
      <c r="K77" s="3"/>
      <c r="L77" s="3"/>
      <c r="M77" s="3"/>
      <c r="N77" s="3"/>
      <c r="O77" s="3"/>
      <c r="P77" s="3"/>
      <c r="Q77" s="3"/>
      <c r="R77" s="3"/>
      <c r="S77" s="3"/>
    </row>
    <row r="78" spans="1:19" ht="39" x14ac:dyDescent="0.25">
      <c r="A78" s="1">
        <v>40810</v>
      </c>
      <c r="B78" s="1">
        <v>40846</v>
      </c>
      <c r="C78" s="2">
        <f t="shared" si="1"/>
        <v>37</v>
      </c>
      <c r="D78" s="6" t="s">
        <v>380</v>
      </c>
      <c r="E78" s="3" t="s">
        <v>381</v>
      </c>
      <c r="F78" s="5" t="s">
        <v>58</v>
      </c>
      <c r="G78" s="3" t="s">
        <v>382</v>
      </c>
      <c r="H78" s="3"/>
      <c r="I78" s="3" t="s">
        <v>383</v>
      </c>
      <c r="J78" s="3" t="s">
        <v>61</v>
      </c>
      <c r="K78" s="3"/>
      <c r="L78" s="3"/>
      <c r="M78" s="3"/>
      <c r="N78" s="3"/>
      <c r="O78" s="3"/>
      <c r="P78" s="3"/>
      <c r="Q78" s="3"/>
      <c r="R78" s="3"/>
      <c r="S78" s="3"/>
    </row>
    <row r="79" spans="1:19" ht="26.25" x14ac:dyDescent="0.25">
      <c r="A79" s="1">
        <v>40810</v>
      </c>
      <c r="B79" s="1">
        <v>40846</v>
      </c>
      <c r="C79" s="2">
        <f t="shared" si="1"/>
        <v>37</v>
      </c>
      <c r="D79" s="6" t="s">
        <v>387</v>
      </c>
      <c r="E79" s="3" t="s">
        <v>388</v>
      </c>
      <c r="F79" s="5" t="s">
        <v>58</v>
      </c>
      <c r="G79" s="3" t="s">
        <v>389</v>
      </c>
      <c r="H79" s="3"/>
      <c r="I79" s="3" t="s">
        <v>193</v>
      </c>
      <c r="J79" s="3" t="s">
        <v>61</v>
      </c>
      <c r="K79" s="3"/>
      <c r="L79" s="3"/>
      <c r="M79" s="3"/>
      <c r="N79" s="3"/>
      <c r="O79" s="3"/>
      <c r="P79" s="3"/>
      <c r="Q79" s="3"/>
      <c r="R79" s="3"/>
      <c r="S79" s="3"/>
    </row>
    <row r="80" spans="1:19" ht="51.75" x14ac:dyDescent="0.25">
      <c r="A80" s="1">
        <v>40873</v>
      </c>
      <c r="B80" s="1">
        <v>40909</v>
      </c>
      <c r="C80" s="2">
        <f t="shared" si="1"/>
        <v>37</v>
      </c>
      <c r="D80" s="6" t="s">
        <v>2205</v>
      </c>
      <c r="E80" s="3" t="s">
        <v>2206</v>
      </c>
      <c r="F80" s="5" t="s">
        <v>58</v>
      </c>
      <c r="G80" s="3" t="s">
        <v>2132</v>
      </c>
      <c r="H80" s="3" t="s">
        <v>2207</v>
      </c>
      <c r="I80" s="3" t="s">
        <v>1225</v>
      </c>
      <c r="J80" s="3" t="s">
        <v>61</v>
      </c>
      <c r="K80" s="3"/>
      <c r="L80" s="3"/>
      <c r="M80" s="3"/>
      <c r="N80" s="3"/>
      <c r="O80" s="3"/>
      <c r="P80" s="3"/>
      <c r="Q80" s="3"/>
      <c r="R80" s="3"/>
      <c r="S80" s="3"/>
    </row>
    <row r="81" spans="1:19" ht="26.25" x14ac:dyDescent="0.25">
      <c r="A81" s="1">
        <v>40873</v>
      </c>
      <c r="B81" s="1">
        <v>40908</v>
      </c>
      <c r="C81" s="2">
        <f t="shared" si="1"/>
        <v>36</v>
      </c>
      <c r="D81" s="6" t="s">
        <v>2203</v>
      </c>
      <c r="E81" s="3" t="s">
        <v>2204</v>
      </c>
      <c r="F81" s="5" t="s">
        <v>58</v>
      </c>
      <c r="G81" s="3" t="s">
        <v>2137</v>
      </c>
      <c r="H81" s="3" t="s">
        <v>2138</v>
      </c>
      <c r="I81" s="3" t="s">
        <v>193</v>
      </c>
      <c r="J81" s="3" t="s">
        <v>61</v>
      </c>
      <c r="K81" s="3"/>
      <c r="L81" s="3"/>
      <c r="M81" s="3"/>
      <c r="N81" s="3"/>
      <c r="O81" s="3"/>
      <c r="P81" s="3"/>
      <c r="Q81" s="3"/>
      <c r="R81" s="3"/>
      <c r="S81" s="3"/>
    </row>
    <row r="82" spans="1:19" ht="39" x14ac:dyDescent="0.25">
      <c r="A82" s="1">
        <v>41066</v>
      </c>
      <c r="B82" s="1">
        <v>41101</v>
      </c>
      <c r="C82" s="2">
        <f t="shared" si="1"/>
        <v>36</v>
      </c>
      <c r="D82" s="6" t="s">
        <v>3381</v>
      </c>
      <c r="E82" s="3" t="s">
        <v>3382</v>
      </c>
      <c r="F82" s="5" t="s">
        <v>58</v>
      </c>
      <c r="G82" s="3" t="s">
        <v>3383</v>
      </c>
      <c r="H82" s="3" t="s">
        <v>3232</v>
      </c>
      <c r="I82" s="3" t="s">
        <v>105</v>
      </c>
      <c r="J82" s="3" t="s">
        <v>61</v>
      </c>
      <c r="K82" s="3"/>
      <c r="L82" s="3"/>
      <c r="M82" s="3"/>
      <c r="N82" s="3"/>
      <c r="O82" s="3"/>
      <c r="P82" s="3"/>
      <c r="Q82" s="3"/>
      <c r="R82" s="3"/>
      <c r="S82" s="3"/>
    </row>
    <row r="83" spans="1:19" ht="26.25" x14ac:dyDescent="0.25">
      <c r="A83" s="1">
        <v>40809</v>
      </c>
      <c r="B83" s="1">
        <v>40843</v>
      </c>
      <c r="C83" s="2">
        <f t="shared" si="1"/>
        <v>35</v>
      </c>
      <c r="D83" s="6" t="s">
        <v>348</v>
      </c>
      <c r="E83" s="3" t="s">
        <v>349</v>
      </c>
      <c r="F83" s="5" t="s">
        <v>58</v>
      </c>
      <c r="G83" s="3" t="s">
        <v>350</v>
      </c>
      <c r="H83" s="3"/>
      <c r="I83" s="3" t="s">
        <v>165</v>
      </c>
      <c r="J83" s="3" t="s">
        <v>61</v>
      </c>
      <c r="K83" s="3"/>
      <c r="L83" s="3"/>
      <c r="M83" s="3"/>
      <c r="N83" s="3"/>
      <c r="O83" s="3"/>
      <c r="P83" s="3"/>
      <c r="Q83" s="3"/>
      <c r="R83" s="3"/>
      <c r="S83" s="3"/>
    </row>
    <row r="84" spans="1:19" ht="26.25" x14ac:dyDescent="0.25">
      <c r="A84" s="1">
        <v>40816</v>
      </c>
      <c r="B84" s="1">
        <v>40847</v>
      </c>
      <c r="C84" s="2">
        <f t="shared" si="1"/>
        <v>32</v>
      </c>
      <c r="D84" s="6" t="s">
        <v>489</v>
      </c>
      <c r="E84" s="3" t="s">
        <v>490</v>
      </c>
      <c r="F84" s="5" t="s">
        <v>58</v>
      </c>
      <c r="G84" s="3" t="s">
        <v>491</v>
      </c>
      <c r="H84" s="3"/>
      <c r="I84" s="3" t="s">
        <v>492</v>
      </c>
      <c r="J84" s="3" t="s">
        <v>61</v>
      </c>
      <c r="K84" s="3"/>
      <c r="L84" s="3"/>
      <c r="M84" s="3"/>
      <c r="N84" s="3"/>
      <c r="O84" s="3"/>
      <c r="P84" s="3"/>
      <c r="Q84" s="3"/>
      <c r="R84" s="3"/>
      <c r="S84" s="3"/>
    </row>
    <row r="85" spans="1:19" ht="26.25" x14ac:dyDescent="0.25">
      <c r="A85" s="1">
        <v>40816</v>
      </c>
      <c r="B85" s="1">
        <v>40846</v>
      </c>
      <c r="C85" s="2">
        <f t="shared" si="1"/>
        <v>31</v>
      </c>
      <c r="D85" s="6" t="s">
        <v>483</v>
      </c>
      <c r="E85" s="3" t="s">
        <v>483</v>
      </c>
      <c r="F85" s="5" t="s">
        <v>58</v>
      </c>
      <c r="G85" s="3" t="s">
        <v>484</v>
      </c>
      <c r="H85" s="3"/>
      <c r="I85" s="3" t="s">
        <v>485</v>
      </c>
      <c r="J85" s="3" t="s">
        <v>61</v>
      </c>
      <c r="K85" s="3"/>
      <c r="L85" s="3"/>
      <c r="M85" s="3"/>
      <c r="N85" s="3"/>
      <c r="O85" s="3"/>
      <c r="P85" s="3"/>
      <c r="Q85" s="3"/>
      <c r="R85" s="3"/>
      <c r="S85" s="3"/>
    </row>
    <row r="86" spans="1:19" ht="39" x14ac:dyDescent="0.25">
      <c r="A86" s="1">
        <v>40817</v>
      </c>
      <c r="B86" s="1">
        <v>40847</v>
      </c>
      <c r="C86" s="2">
        <f t="shared" si="1"/>
        <v>31</v>
      </c>
      <c r="D86" s="6" t="s">
        <v>709</v>
      </c>
      <c r="E86" s="3" t="s">
        <v>710</v>
      </c>
      <c r="F86" s="5" t="s">
        <v>58</v>
      </c>
      <c r="G86" s="3" t="s">
        <v>711</v>
      </c>
      <c r="H86" s="3" t="s">
        <v>712</v>
      </c>
      <c r="I86" s="3" t="s">
        <v>77</v>
      </c>
      <c r="J86" s="3" t="s">
        <v>61</v>
      </c>
      <c r="K86" s="3"/>
      <c r="L86" s="3"/>
      <c r="M86" s="3"/>
      <c r="N86" s="3"/>
      <c r="O86" s="3"/>
      <c r="P86" s="3"/>
      <c r="Q86" s="3"/>
      <c r="R86" s="3"/>
      <c r="S86" s="3"/>
    </row>
    <row r="87" spans="1:19" ht="51.75" x14ac:dyDescent="0.25">
      <c r="A87" s="1">
        <v>40817</v>
      </c>
      <c r="B87" s="1">
        <v>40847</v>
      </c>
      <c r="C87" s="2">
        <f t="shared" si="1"/>
        <v>31</v>
      </c>
      <c r="D87" s="6" t="s">
        <v>714</v>
      </c>
      <c r="E87" s="3" t="s">
        <v>715</v>
      </c>
      <c r="F87" s="5" t="s">
        <v>58</v>
      </c>
      <c r="G87" s="3" t="s">
        <v>716</v>
      </c>
      <c r="H87" s="3"/>
      <c r="I87" s="3" t="s">
        <v>455</v>
      </c>
      <c r="J87" s="3" t="s">
        <v>61</v>
      </c>
      <c r="K87" s="3"/>
      <c r="L87" s="3"/>
      <c r="M87" s="3"/>
      <c r="N87" s="3"/>
      <c r="O87" s="3"/>
      <c r="P87" s="3"/>
      <c r="Q87" s="3"/>
      <c r="R87" s="3"/>
      <c r="S87" s="3"/>
    </row>
    <row r="88" spans="1:19" ht="26.25" x14ac:dyDescent="0.25">
      <c r="A88" s="1">
        <v>40817</v>
      </c>
      <c r="B88" s="1">
        <v>40847</v>
      </c>
      <c r="C88" s="2">
        <f t="shared" si="1"/>
        <v>31</v>
      </c>
      <c r="D88" s="6" t="s">
        <v>720</v>
      </c>
      <c r="E88" s="3" t="s">
        <v>721</v>
      </c>
      <c r="F88" s="5" t="s">
        <v>58</v>
      </c>
      <c r="G88" s="3" t="s">
        <v>722</v>
      </c>
      <c r="H88" s="3"/>
      <c r="I88" s="3" t="s">
        <v>105</v>
      </c>
      <c r="J88" s="3" t="s">
        <v>61</v>
      </c>
      <c r="K88" s="3"/>
      <c r="L88" s="3"/>
      <c r="M88" s="3"/>
      <c r="N88" s="3"/>
      <c r="O88" s="3"/>
      <c r="P88" s="3"/>
      <c r="Q88" s="3"/>
      <c r="R88" s="3"/>
      <c r="S88" s="3"/>
    </row>
    <row r="89" spans="1:19" ht="39" x14ac:dyDescent="0.25">
      <c r="A89" s="1">
        <v>40817</v>
      </c>
      <c r="B89" s="1">
        <v>40847</v>
      </c>
      <c r="C89" s="2">
        <f t="shared" si="1"/>
        <v>31</v>
      </c>
      <c r="D89" s="6" t="s">
        <v>724</v>
      </c>
      <c r="E89" s="3" t="s">
        <v>725</v>
      </c>
      <c r="F89" s="5" t="s">
        <v>58</v>
      </c>
      <c r="G89" s="3" t="s">
        <v>726</v>
      </c>
      <c r="H89" s="3" t="s">
        <v>727</v>
      </c>
      <c r="I89" s="3" t="s">
        <v>245</v>
      </c>
      <c r="J89" s="3" t="s">
        <v>61</v>
      </c>
      <c r="K89" s="3"/>
      <c r="L89" s="3"/>
      <c r="M89" s="3"/>
      <c r="N89" s="3"/>
      <c r="O89" s="3"/>
      <c r="P89" s="3"/>
      <c r="Q89" s="3"/>
      <c r="R89" s="3"/>
      <c r="S89" s="3"/>
    </row>
    <row r="90" spans="1:19" ht="51.75" x14ac:dyDescent="0.25">
      <c r="A90" s="1">
        <v>40878</v>
      </c>
      <c r="B90" s="1">
        <v>40908</v>
      </c>
      <c r="C90" s="2">
        <f t="shared" si="1"/>
        <v>31</v>
      </c>
      <c r="D90" s="6" t="s">
        <v>2256</v>
      </c>
      <c r="E90" s="3" t="s">
        <v>2257</v>
      </c>
      <c r="F90" s="5" t="s">
        <v>58</v>
      </c>
      <c r="G90" s="3" t="s">
        <v>2258</v>
      </c>
      <c r="H90" s="3"/>
      <c r="I90" s="3" t="s">
        <v>227</v>
      </c>
      <c r="J90" s="3" t="s">
        <v>61</v>
      </c>
      <c r="K90" s="3"/>
      <c r="L90" s="3"/>
      <c r="M90" s="3"/>
      <c r="N90" s="3"/>
      <c r="O90" s="3"/>
      <c r="P90" s="3"/>
      <c r="Q90" s="3"/>
      <c r="R90" s="3"/>
      <c r="S90" s="3"/>
    </row>
    <row r="91" spans="1:19" ht="26.25" x14ac:dyDescent="0.25">
      <c r="A91" s="1">
        <v>40878</v>
      </c>
      <c r="B91" s="1">
        <v>40908</v>
      </c>
      <c r="C91" s="2">
        <f t="shared" si="1"/>
        <v>31</v>
      </c>
      <c r="D91" s="6" t="s">
        <v>2262</v>
      </c>
      <c r="E91" s="3" t="s">
        <v>2263</v>
      </c>
      <c r="F91" s="5" t="s">
        <v>58</v>
      </c>
      <c r="G91" s="3" t="s">
        <v>2264</v>
      </c>
      <c r="H91" s="3"/>
      <c r="I91" s="3" t="s">
        <v>2018</v>
      </c>
      <c r="J91" s="3" t="s">
        <v>61</v>
      </c>
      <c r="K91" s="3"/>
      <c r="L91" s="3"/>
      <c r="M91" s="3"/>
      <c r="N91" s="3"/>
      <c r="O91" s="3"/>
      <c r="P91" s="3"/>
      <c r="Q91" s="3"/>
      <c r="R91" s="3"/>
      <c r="S91" s="3"/>
    </row>
    <row r="92" spans="1:19" ht="51.75" x14ac:dyDescent="0.25">
      <c r="A92" s="1">
        <v>41091</v>
      </c>
      <c r="B92" s="1">
        <v>41121</v>
      </c>
      <c r="C92" s="2">
        <f t="shared" si="1"/>
        <v>31</v>
      </c>
      <c r="D92" s="6" t="s">
        <v>3543</v>
      </c>
      <c r="E92" s="3" t="s">
        <v>3544</v>
      </c>
      <c r="F92" s="5" t="s">
        <v>58</v>
      </c>
      <c r="G92" s="3" t="s">
        <v>3545</v>
      </c>
      <c r="H92" s="3" t="s">
        <v>3546</v>
      </c>
      <c r="I92" s="3" t="s">
        <v>1446</v>
      </c>
      <c r="J92" s="3" t="s">
        <v>61</v>
      </c>
      <c r="K92" s="3"/>
      <c r="L92" s="3"/>
      <c r="M92" s="3"/>
      <c r="N92" s="3"/>
      <c r="O92" s="3"/>
      <c r="P92" s="3"/>
      <c r="Q92" s="3"/>
      <c r="R92" s="3"/>
      <c r="S92" s="3"/>
    </row>
    <row r="93" spans="1:19" ht="51.75" x14ac:dyDescent="0.25">
      <c r="A93" s="1">
        <v>40817</v>
      </c>
      <c r="B93" s="1">
        <v>40846</v>
      </c>
      <c r="C93" s="2">
        <f t="shared" si="1"/>
        <v>30</v>
      </c>
      <c r="D93" s="6" t="s">
        <v>703</v>
      </c>
      <c r="E93" s="3" t="s">
        <v>704</v>
      </c>
      <c r="F93" s="5" t="s">
        <v>58</v>
      </c>
      <c r="G93" s="3" t="s">
        <v>705</v>
      </c>
      <c r="H93" s="3"/>
      <c r="I93" s="3" t="s">
        <v>365</v>
      </c>
      <c r="J93" s="3" t="s">
        <v>61</v>
      </c>
      <c r="K93" s="3"/>
      <c r="L93" s="3"/>
      <c r="M93" s="3"/>
      <c r="N93" s="3"/>
      <c r="O93" s="3"/>
      <c r="P93" s="3"/>
      <c r="Q93" s="3"/>
      <c r="R93" s="3"/>
      <c r="S93" s="3"/>
    </row>
    <row r="94" spans="1:19" ht="51.75" x14ac:dyDescent="0.25">
      <c r="A94" s="1">
        <v>40818</v>
      </c>
      <c r="B94" s="1">
        <v>40847</v>
      </c>
      <c r="C94" s="2">
        <f t="shared" si="1"/>
        <v>30</v>
      </c>
      <c r="D94" s="6" t="s">
        <v>754</v>
      </c>
      <c r="E94" s="3" t="s">
        <v>755</v>
      </c>
      <c r="F94" s="5" t="s">
        <v>58</v>
      </c>
      <c r="G94" s="3" t="s">
        <v>756</v>
      </c>
      <c r="H94" s="3" t="s">
        <v>757</v>
      </c>
      <c r="I94" s="3" t="s">
        <v>455</v>
      </c>
      <c r="J94" s="3" t="s">
        <v>61</v>
      </c>
      <c r="K94" s="3"/>
      <c r="L94" s="3"/>
      <c r="M94" s="3"/>
      <c r="N94" s="3"/>
      <c r="O94" s="3"/>
      <c r="P94" s="3"/>
      <c r="Q94" s="3"/>
      <c r="R94" s="3"/>
      <c r="S94" s="3"/>
    </row>
    <row r="95" spans="1:19" ht="51.75" x14ac:dyDescent="0.25">
      <c r="A95" s="1">
        <v>40872</v>
      </c>
      <c r="B95" s="1">
        <v>40901</v>
      </c>
      <c r="C95" s="2">
        <f t="shared" si="1"/>
        <v>30</v>
      </c>
      <c r="D95" s="6" t="s">
        <v>2113</v>
      </c>
      <c r="E95" s="3" t="s">
        <v>2114</v>
      </c>
      <c r="F95" s="5" t="s">
        <v>58</v>
      </c>
      <c r="G95" s="3" t="s">
        <v>399</v>
      </c>
      <c r="H95" s="3"/>
      <c r="I95" s="3" t="s">
        <v>400</v>
      </c>
      <c r="J95" s="3" t="s">
        <v>61</v>
      </c>
      <c r="K95" s="3"/>
      <c r="L95" s="3"/>
      <c r="M95" s="3"/>
      <c r="N95" s="3"/>
      <c r="O95" s="3"/>
      <c r="P95" s="3"/>
      <c r="Q95" s="3"/>
      <c r="R95" s="3"/>
      <c r="S95" s="3"/>
    </row>
    <row r="96" spans="1:19" ht="64.5" x14ac:dyDescent="0.25">
      <c r="A96" s="1">
        <v>40874</v>
      </c>
      <c r="B96" s="1">
        <v>40903</v>
      </c>
      <c r="C96" s="2">
        <f t="shared" si="1"/>
        <v>30</v>
      </c>
      <c r="D96" s="6" t="s">
        <v>2216</v>
      </c>
      <c r="E96" s="3" t="s">
        <v>2217</v>
      </c>
      <c r="F96" s="5" t="s">
        <v>58</v>
      </c>
      <c r="G96" s="3" t="s">
        <v>752</v>
      </c>
      <c r="H96" s="3" t="s">
        <v>753</v>
      </c>
      <c r="I96" s="3" t="s">
        <v>193</v>
      </c>
      <c r="J96" s="3" t="s">
        <v>61</v>
      </c>
      <c r="K96" s="3"/>
      <c r="L96" s="3"/>
      <c r="M96" s="3"/>
      <c r="N96" s="3"/>
      <c r="O96" s="3"/>
      <c r="P96" s="3"/>
      <c r="Q96" s="3"/>
      <c r="R96" s="3"/>
      <c r="S96" s="3"/>
    </row>
    <row r="97" spans="1:19" ht="26.25" x14ac:dyDescent="0.25">
      <c r="A97" s="16">
        <v>40970</v>
      </c>
      <c r="B97" s="16">
        <v>40999</v>
      </c>
      <c r="C97" s="2">
        <f t="shared" si="1"/>
        <v>30</v>
      </c>
      <c r="D97" s="27" t="s">
        <v>2931</v>
      </c>
      <c r="E97" s="7" t="s">
        <v>2932</v>
      </c>
      <c r="F97" s="8" t="s">
        <v>58</v>
      </c>
      <c r="G97" s="7" t="s">
        <v>297</v>
      </c>
      <c r="H97" s="7"/>
      <c r="I97" s="7" t="s">
        <v>60</v>
      </c>
      <c r="J97" s="7" t="s">
        <v>61</v>
      </c>
      <c r="K97" s="7"/>
      <c r="L97" s="7"/>
      <c r="M97" s="7"/>
      <c r="N97" s="7"/>
      <c r="O97" s="7"/>
      <c r="P97" s="7"/>
      <c r="Q97" s="7"/>
      <c r="R97" s="7"/>
      <c r="S97" s="7"/>
    </row>
    <row r="98" spans="1:19" ht="26.25" x14ac:dyDescent="0.25">
      <c r="A98" s="1">
        <v>41103</v>
      </c>
      <c r="B98" s="1">
        <v>41132</v>
      </c>
      <c r="C98" s="2">
        <f t="shared" si="1"/>
        <v>30</v>
      </c>
      <c r="D98" s="6" t="s">
        <v>3644</v>
      </c>
      <c r="E98" s="3" t="s">
        <v>3644</v>
      </c>
      <c r="F98" s="4" t="s">
        <v>58</v>
      </c>
      <c r="G98" s="3" t="s">
        <v>297</v>
      </c>
      <c r="H98" s="3"/>
      <c r="I98" s="3" t="s">
        <v>60</v>
      </c>
      <c r="J98" s="3" t="s">
        <v>61</v>
      </c>
      <c r="K98" s="3"/>
      <c r="L98" s="3"/>
      <c r="M98" s="3"/>
      <c r="N98" s="3"/>
      <c r="O98" s="3"/>
      <c r="P98" s="3"/>
      <c r="Q98" s="3"/>
      <c r="R98" s="3"/>
      <c r="S98" s="3"/>
    </row>
    <row r="99" spans="1:19" ht="39" x14ac:dyDescent="0.25">
      <c r="A99" s="1">
        <v>40872</v>
      </c>
      <c r="B99" s="1">
        <v>40900</v>
      </c>
      <c r="C99" s="2">
        <f t="shared" si="1"/>
        <v>29</v>
      </c>
      <c r="D99" s="6" t="s">
        <v>2111</v>
      </c>
      <c r="E99" s="3" t="s">
        <v>2112</v>
      </c>
      <c r="F99" s="4" t="s">
        <v>58</v>
      </c>
      <c r="G99" s="3" t="s">
        <v>297</v>
      </c>
      <c r="H99" s="3"/>
      <c r="I99" s="3" t="s">
        <v>60</v>
      </c>
      <c r="J99" s="3" t="s">
        <v>61</v>
      </c>
      <c r="K99" s="3"/>
      <c r="L99" s="3"/>
      <c r="M99" s="3"/>
      <c r="N99" s="3"/>
      <c r="O99" s="3"/>
      <c r="P99" s="3"/>
      <c r="Q99" s="3"/>
      <c r="R99" s="3"/>
      <c r="S99" s="3"/>
    </row>
    <row r="100" spans="1:19" ht="39" x14ac:dyDescent="0.25">
      <c r="A100" s="1">
        <v>40937</v>
      </c>
      <c r="B100" s="1">
        <v>40965</v>
      </c>
      <c r="C100" s="2">
        <f t="shared" si="1"/>
        <v>29</v>
      </c>
      <c r="D100" s="6" t="s">
        <v>2766</v>
      </c>
      <c r="E100" s="3" t="s">
        <v>2767</v>
      </c>
      <c r="F100" s="4" t="s">
        <v>58</v>
      </c>
      <c r="G100" s="3" t="s">
        <v>2768</v>
      </c>
      <c r="H100" s="3" t="s">
        <v>2769</v>
      </c>
      <c r="I100" s="3" t="s">
        <v>2047</v>
      </c>
      <c r="J100" s="3" t="s">
        <v>61</v>
      </c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39" x14ac:dyDescent="0.25">
      <c r="A101" s="1">
        <v>40991</v>
      </c>
      <c r="B101" s="1">
        <v>41019</v>
      </c>
      <c r="C101" s="2">
        <f t="shared" si="1"/>
        <v>29</v>
      </c>
      <c r="D101" s="6" t="s">
        <v>3010</v>
      </c>
      <c r="E101" s="3" t="s">
        <v>3011</v>
      </c>
      <c r="F101" s="4" t="s">
        <v>58</v>
      </c>
      <c r="G101" s="3" t="s">
        <v>2972</v>
      </c>
      <c r="H101" s="3" t="s">
        <v>3012</v>
      </c>
      <c r="I101" s="3" t="s">
        <v>865</v>
      </c>
      <c r="J101" s="3" t="s">
        <v>61</v>
      </c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39" x14ac:dyDescent="0.25">
      <c r="A102" s="1">
        <v>41026</v>
      </c>
      <c r="B102" s="1">
        <v>41053</v>
      </c>
      <c r="C102" s="2">
        <f t="shared" si="1"/>
        <v>28</v>
      </c>
      <c r="D102" s="6" t="s">
        <v>3137</v>
      </c>
      <c r="E102" s="3" t="s">
        <v>3138</v>
      </c>
      <c r="F102" s="4" t="s">
        <v>58</v>
      </c>
      <c r="G102" s="3" t="s">
        <v>2972</v>
      </c>
      <c r="H102" s="3" t="s">
        <v>3012</v>
      </c>
      <c r="I102" s="3" t="s">
        <v>865</v>
      </c>
      <c r="J102" s="3" t="s">
        <v>61</v>
      </c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26.25" x14ac:dyDescent="0.25">
      <c r="A103" s="1">
        <v>40823</v>
      </c>
      <c r="B103" s="1">
        <v>40845</v>
      </c>
      <c r="C103" s="2">
        <f t="shared" si="1"/>
        <v>23</v>
      </c>
      <c r="D103" s="6" t="s">
        <v>932</v>
      </c>
      <c r="E103" s="3" t="s">
        <v>932</v>
      </c>
      <c r="F103" s="4" t="s">
        <v>58</v>
      </c>
      <c r="G103" s="3" t="s">
        <v>933</v>
      </c>
      <c r="H103" s="3"/>
      <c r="I103" s="3" t="s">
        <v>60</v>
      </c>
      <c r="J103" s="3" t="s">
        <v>61</v>
      </c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39" x14ac:dyDescent="0.25">
      <c r="A104" s="1">
        <v>40852</v>
      </c>
      <c r="B104" s="1">
        <v>40874</v>
      </c>
      <c r="C104" s="2">
        <f t="shared" si="1"/>
        <v>23</v>
      </c>
      <c r="D104" s="6" t="s">
        <v>1820</v>
      </c>
      <c r="E104" s="3" t="s">
        <v>1821</v>
      </c>
      <c r="F104" s="4" t="s">
        <v>58</v>
      </c>
      <c r="G104" s="3" t="s">
        <v>284</v>
      </c>
      <c r="H104" s="3"/>
      <c r="I104" s="3" t="s">
        <v>245</v>
      </c>
      <c r="J104" s="3" t="s">
        <v>61</v>
      </c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26.25" x14ac:dyDescent="0.25">
      <c r="A105" s="1">
        <v>40921</v>
      </c>
      <c r="B105" s="1">
        <v>40943</v>
      </c>
      <c r="C105" s="2">
        <f t="shared" si="1"/>
        <v>23</v>
      </c>
      <c r="D105" s="6" t="s">
        <v>2695</v>
      </c>
      <c r="E105" s="3" t="s">
        <v>2696</v>
      </c>
      <c r="F105" s="4" t="s">
        <v>58</v>
      </c>
      <c r="G105" s="3" t="s">
        <v>297</v>
      </c>
      <c r="H105" s="3"/>
      <c r="I105" s="3" t="s">
        <v>60</v>
      </c>
      <c r="J105" s="3" t="s">
        <v>61</v>
      </c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26.25" x14ac:dyDescent="0.25">
      <c r="A106" s="1">
        <v>40796</v>
      </c>
      <c r="B106" s="1">
        <v>40817</v>
      </c>
      <c r="C106" s="2">
        <f t="shared" si="1"/>
        <v>22</v>
      </c>
      <c r="D106" s="6" t="s">
        <v>295</v>
      </c>
      <c r="E106" s="3" t="s">
        <v>296</v>
      </c>
      <c r="F106" s="4" t="s">
        <v>58</v>
      </c>
      <c r="G106" s="3" t="s">
        <v>297</v>
      </c>
      <c r="H106" s="3"/>
      <c r="I106" s="3" t="s">
        <v>60</v>
      </c>
      <c r="J106" s="3" t="s">
        <v>61</v>
      </c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39" x14ac:dyDescent="0.25">
      <c r="A107" s="1">
        <v>40818</v>
      </c>
      <c r="B107" s="1">
        <v>40839</v>
      </c>
      <c r="C107" s="2">
        <f t="shared" si="1"/>
        <v>22</v>
      </c>
      <c r="D107" s="6" t="s">
        <v>744</v>
      </c>
      <c r="E107" s="3" t="s">
        <v>745</v>
      </c>
      <c r="F107" s="8" t="s">
        <v>58</v>
      </c>
      <c r="G107" s="3" t="s">
        <v>746</v>
      </c>
      <c r="H107" s="3" t="s">
        <v>747</v>
      </c>
      <c r="I107" s="3" t="s">
        <v>193</v>
      </c>
      <c r="J107" s="3" t="s">
        <v>61</v>
      </c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64.5" x14ac:dyDescent="0.25">
      <c r="A108" s="1">
        <v>40818</v>
      </c>
      <c r="B108" s="1">
        <v>40839</v>
      </c>
      <c r="C108" s="2">
        <f t="shared" si="1"/>
        <v>22</v>
      </c>
      <c r="D108" s="6" t="s">
        <v>750</v>
      </c>
      <c r="E108" s="3" t="s">
        <v>751</v>
      </c>
      <c r="F108" s="5" t="s">
        <v>58</v>
      </c>
      <c r="G108" s="3" t="s">
        <v>752</v>
      </c>
      <c r="H108" s="3" t="s">
        <v>753</v>
      </c>
      <c r="I108" s="3" t="s">
        <v>193</v>
      </c>
      <c r="J108" s="3" t="s">
        <v>61</v>
      </c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39" x14ac:dyDescent="0.25">
      <c r="A109" s="1">
        <v>40935</v>
      </c>
      <c r="B109" s="1">
        <v>40956</v>
      </c>
      <c r="C109" s="2">
        <f t="shared" si="1"/>
        <v>22</v>
      </c>
      <c r="D109" s="6" t="s">
        <v>2741</v>
      </c>
      <c r="E109" s="3" t="s">
        <v>2742</v>
      </c>
      <c r="F109" s="4" t="s">
        <v>58</v>
      </c>
      <c r="G109" s="3" t="s">
        <v>1178</v>
      </c>
      <c r="H109" s="3" t="s">
        <v>2743</v>
      </c>
      <c r="I109" s="3" t="s">
        <v>865</v>
      </c>
      <c r="J109" s="3" t="s">
        <v>61</v>
      </c>
      <c r="K109" s="3"/>
      <c r="L109" s="3"/>
      <c r="M109" s="3"/>
      <c r="N109" s="3"/>
      <c r="O109" s="3"/>
      <c r="P109" s="3"/>
      <c r="Q109" s="3"/>
      <c r="R109" s="3"/>
      <c r="S109" s="3"/>
    </row>
    <row r="110" spans="1:19" x14ac:dyDescent="0.25">
      <c r="A110" s="1">
        <v>40799</v>
      </c>
      <c r="B110" s="1">
        <v>40817</v>
      </c>
      <c r="C110" s="2">
        <f t="shared" si="1"/>
        <v>19</v>
      </c>
      <c r="D110" s="6" t="s">
        <v>306</v>
      </c>
      <c r="E110" s="3" t="s">
        <v>307</v>
      </c>
      <c r="F110" s="4" t="s">
        <v>58</v>
      </c>
      <c r="G110" s="3" t="s">
        <v>308</v>
      </c>
      <c r="H110" s="3"/>
      <c r="I110" s="3" t="s">
        <v>159</v>
      </c>
      <c r="J110" s="3" t="s">
        <v>61</v>
      </c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39" x14ac:dyDescent="0.25">
      <c r="A111" s="1">
        <v>40833</v>
      </c>
      <c r="B111" s="1">
        <v>40850</v>
      </c>
      <c r="C111" s="2">
        <f t="shared" si="1"/>
        <v>18</v>
      </c>
      <c r="D111" s="6" t="s">
        <v>1362</v>
      </c>
      <c r="E111" s="3" t="s">
        <v>1363</v>
      </c>
      <c r="F111" s="4" t="s">
        <v>58</v>
      </c>
      <c r="G111" s="3" t="s">
        <v>1364</v>
      </c>
      <c r="H111" s="3" t="s">
        <v>1365</v>
      </c>
      <c r="I111" s="3" t="s">
        <v>1366</v>
      </c>
      <c r="J111" s="3" t="s">
        <v>61</v>
      </c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26.25" x14ac:dyDescent="0.25">
      <c r="A112" s="1">
        <v>40809</v>
      </c>
      <c r="B112" s="1">
        <v>40825</v>
      </c>
      <c r="C112" s="2">
        <f t="shared" si="1"/>
        <v>17</v>
      </c>
      <c r="D112" s="6" t="s">
        <v>342</v>
      </c>
      <c r="E112" s="3" t="s">
        <v>343</v>
      </c>
      <c r="F112" s="4" t="s">
        <v>58</v>
      </c>
      <c r="G112" s="3" t="s">
        <v>344</v>
      </c>
      <c r="H112" s="3" t="s">
        <v>345</v>
      </c>
      <c r="I112" s="3" t="s">
        <v>105</v>
      </c>
      <c r="J112" s="3" t="s">
        <v>61</v>
      </c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51.75" x14ac:dyDescent="0.25">
      <c r="A113" s="1">
        <v>40879</v>
      </c>
      <c r="B113" s="1">
        <v>40895</v>
      </c>
      <c r="C113" s="2">
        <f t="shared" si="1"/>
        <v>17</v>
      </c>
      <c r="D113" s="6" t="s">
        <v>2314</v>
      </c>
      <c r="E113" s="3" t="s">
        <v>2315</v>
      </c>
      <c r="F113" s="4" t="s">
        <v>58</v>
      </c>
      <c r="G113" s="3" t="s">
        <v>1231</v>
      </c>
      <c r="H113" s="3" t="s">
        <v>1232</v>
      </c>
      <c r="I113" s="3" t="s">
        <v>227</v>
      </c>
      <c r="J113" s="3" t="s">
        <v>61</v>
      </c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26.25" x14ac:dyDescent="0.25">
      <c r="A114" s="1">
        <v>40879</v>
      </c>
      <c r="B114" s="1">
        <v>40895</v>
      </c>
      <c r="C114" s="2">
        <f t="shared" si="1"/>
        <v>17</v>
      </c>
      <c r="D114" s="6" t="s">
        <v>2316</v>
      </c>
      <c r="E114" s="3" t="s">
        <v>2317</v>
      </c>
      <c r="F114" s="4" t="s">
        <v>58</v>
      </c>
      <c r="G114" s="3" t="s">
        <v>344</v>
      </c>
      <c r="H114" s="3" t="s">
        <v>345</v>
      </c>
      <c r="I114" s="3" t="s">
        <v>105</v>
      </c>
      <c r="J114" s="3" t="s">
        <v>61</v>
      </c>
      <c r="K114" s="3"/>
      <c r="L114" s="3"/>
      <c r="M114" s="3"/>
      <c r="N114" s="3"/>
      <c r="O114" s="3"/>
      <c r="P114" s="3"/>
      <c r="Q114" s="3"/>
      <c r="R114" s="3"/>
      <c r="S114" s="3"/>
    </row>
    <row r="115" spans="1:19" x14ac:dyDescent="0.25">
      <c r="A115" s="1">
        <v>41006</v>
      </c>
      <c r="B115" s="1">
        <v>41022</v>
      </c>
      <c r="C115" s="2">
        <f t="shared" si="1"/>
        <v>17</v>
      </c>
      <c r="D115" s="6" t="s">
        <v>3043</v>
      </c>
      <c r="E115" s="3" t="s">
        <v>3043</v>
      </c>
      <c r="F115" s="4" t="s">
        <v>58</v>
      </c>
      <c r="G115" s="3" t="s">
        <v>1459</v>
      </c>
      <c r="H115" s="3"/>
      <c r="I115" s="3" t="s">
        <v>60</v>
      </c>
      <c r="J115" s="3" t="s">
        <v>61</v>
      </c>
      <c r="K115" s="3"/>
      <c r="L115" s="3"/>
      <c r="M115" s="3"/>
      <c r="N115" s="3"/>
      <c r="O115" s="3"/>
      <c r="P115" s="3"/>
      <c r="Q115" s="3"/>
      <c r="R115" s="3"/>
      <c r="S115" s="3"/>
    </row>
    <row r="116" spans="1:19" x14ac:dyDescent="0.25">
      <c r="A116" s="1">
        <v>41006</v>
      </c>
      <c r="B116" s="1">
        <v>41022</v>
      </c>
      <c r="C116" s="2">
        <f t="shared" si="1"/>
        <v>17</v>
      </c>
      <c r="D116" s="6" t="s">
        <v>3043</v>
      </c>
      <c r="E116" s="3" t="s">
        <v>3043</v>
      </c>
      <c r="F116" s="4" t="s">
        <v>58</v>
      </c>
      <c r="G116" s="3" t="s">
        <v>1459</v>
      </c>
      <c r="H116" s="3"/>
      <c r="I116" s="3" t="s">
        <v>60</v>
      </c>
      <c r="J116" s="3" t="s">
        <v>61</v>
      </c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26.25" x14ac:dyDescent="0.25">
      <c r="A117" s="1">
        <v>41012</v>
      </c>
      <c r="B117" s="1">
        <v>41028</v>
      </c>
      <c r="C117" s="2">
        <f t="shared" si="1"/>
        <v>17</v>
      </c>
      <c r="D117" s="6" t="s">
        <v>3059</v>
      </c>
      <c r="E117" s="3" t="s">
        <v>3060</v>
      </c>
      <c r="F117" s="4" t="s">
        <v>58</v>
      </c>
      <c r="G117" s="3" t="s">
        <v>344</v>
      </c>
      <c r="H117" s="3" t="s">
        <v>345</v>
      </c>
      <c r="I117" s="3" t="s">
        <v>105</v>
      </c>
      <c r="J117" s="3" t="s">
        <v>61</v>
      </c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26.25" x14ac:dyDescent="0.25">
      <c r="A118" s="1">
        <v>41033</v>
      </c>
      <c r="B118" s="1">
        <v>41049</v>
      </c>
      <c r="C118" s="2">
        <f t="shared" si="1"/>
        <v>17</v>
      </c>
      <c r="D118" s="6" t="s">
        <v>3211</v>
      </c>
      <c r="E118" s="3" t="s">
        <v>3212</v>
      </c>
      <c r="F118" s="4" t="s">
        <v>58</v>
      </c>
      <c r="G118" s="3" t="s">
        <v>3213</v>
      </c>
      <c r="H118" s="3"/>
      <c r="I118" s="3" t="s">
        <v>60</v>
      </c>
      <c r="J118" s="3" t="s">
        <v>61</v>
      </c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39" x14ac:dyDescent="0.25">
      <c r="A119" s="1">
        <v>41068</v>
      </c>
      <c r="B119" s="1">
        <v>41084</v>
      </c>
      <c r="C119" s="2">
        <f t="shared" si="1"/>
        <v>17</v>
      </c>
      <c r="D119" s="6" t="s">
        <v>3410</v>
      </c>
      <c r="E119" s="3" t="s">
        <v>3411</v>
      </c>
      <c r="F119" s="10" t="s">
        <v>58</v>
      </c>
      <c r="G119" s="3" t="s">
        <v>344</v>
      </c>
      <c r="H119" s="3" t="s">
        <v>345</v>
      </c>
      <c r="I119" s="3" t="s">
        <v>105</v>
      </c>
      <c r="J119" s="3" t="s">
        <v>61</v>
      </c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39" x14ac:dyDescent="0.25">
      <c r="A120" s="16">
        <v>40837</v>
      </c>
      <c r="B120" s="16">
        <v>40852</v>
      </c>
      <c r="C120" s="2">
        <f t="shared" si="1"/>
        <v>16</v>
      </c>
      <c r="D120" s="27" t="s">
        <v>1425</v>
      </c>
      <c r="E120" s="20" t="s">
        <v>1426</v>
      </c>
      <c r="F120" s="19" t="s">
        <v>58</v>
      </c>
      <c r="G120" s="17" t="s">
        <v>297</v>
      </c>
      <c r="H120" s="7"/>
      <c r="I120" s="7" t="s">
        <v>60</v>
      </c>
      <c r="J120" s="7" t="s">
        <v>61</v>
      </c>
      <c r="K120" s="7"/>
      <c r="L120" s="7"/>
      <c r="M120" s="7"/>
      <c r="N120" s="7"/>
      <c r="O120" s="7"/>
      <c r="P120" s="7"/>
      <c r="Q120" s="7"/>
      <c r="R120" s="7"/>
      <c r="S120" s="7"/>
    </row>
    <row r="121" spans="1:19" ht="39" x14ac:dyDescent="0.25">
      <c r="A121" s="1">
        <v>40844</v>
      </c>
      <c r="B121" s="1">
        <v>40859</v>
      </c>
      <c r="C121" s="2">
        <f t="shared" si="1"/>
        <v>16</v>
      </c>
      <c r="D121" s="6" t="s">
        <v>1586</v>
      </c>
      <c r="E121" s="3" t="s">
        <v>1587</v>
      </c>
      <c r="F121" s="5" t="s">
        <v>58</v>
      </c>
      <c r="G121" s="3" t="s">
        <v>1588</v>
      </c>
      <c r="H121" s="3"/>
      <c r="I121" s="3" t="s">
        <v>993</v>
      </c>
      <c r="J121" s="3" t="s">
        <v>61</v>
      </c>
      <c r="K121" s="3"/>
      <c r="L121" s="3"/>
      <c r="M121" s="3"/>
      <c r="N121" s="3"/>
      <c r="O121" s="3"/>
      <c r="P121" s="3"/>
      <c r="Q121" s="3"/>
      <c r="R121" s="3"/>
      <c r="S121" s="3"/>
    </row>
    <row r="122" spans="1:19" x14ac:dyDescent="0.25">
      <c r="A122" s="1">
        <v>40852</v>
      </c>
      <c r="B122" s="1">
        <v>40867</v>
      </c>
      <c r="C122" s="2">
        <f t="shared" si="1"/>
        <v>16</v>
      </c>
      <c r="D122" s="6" t="s">
        <v>1816</v>
      </c>
      <c r="E122" s="3" t="s">
        <v>1816</v>
      </c>
      <c r="F122" s="4" t="s">
        <v>58</v>
      </c>
      <c r="G122" s="3" t="s">
        <v>1721</v>
      </c>
      <c r="H122" s="3" t="s">
        <v>1817</v>
      </c>
      <c r="I122" s="3" t="s">
        <v>60</v>
      </c>
      <c r="J122" s="3" t="s">
        <v>61</v>
      </c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51.75" x14ac:dyDescent="0.25">
      <c r="A123" s="1">
        <v>40880</v>
      </c>
      <c r="B123" s="1">
        <v>40895</v>
      </c>
      <c r="C123" s="2">
        <f t="shared" si="1"/>
        <v>16</v>
      </c>
      <c r="D123" s="6" t="s">
        <v>2481</v>
      </c>
      <c r="E123" s="3" t="s">
        <v>2482</v>
      </c>
      <c r="F123" s="4" t="s">
        <v>58</v>
      </c>
      <c r="G123" s="3" t="s">
        <v>2483</v>
      </c>
      <c r="H123" s="3" t="s">
        <v>2484</v>
      </c>
      <c r="I123" s="3" t="s">
        <v>105</v>
      </c>
      <c r="J123" s="3" t="s">
        <v>61</v>
      </c>
      <c r="K123" s="3"/>
      <c r="L123" s="3"/>
      <c r="M123" s="3"/>
      <c r="N123" s="3"/>
      <c r="O123" s="3"/>
      <c r="P123" s="3"/>
      <c r="Q123" s="3"/>
      <c r="R123" s="3"/>
      <c r="S123" s="3"/>
    </row>
    <row r="124" spans="1:19" ht="39" x14ac:dyDescent="0.25">
      <c r="A124" s="1">
        <v>40963</v>
      </c>
      <c r="B124" s="1">
        <v>40978</v>
      </c>
      <c r="C124" s="2">
        <f t="shared" si="1"/>
        <v>16</v>
      </c>
      <c r="D124" s="6" t="s">
        <v>2912</v>
      </c>
      <c r="E124" s="3" t="s">
        <v>2913</v>
      </c>
      <c r="F124" s="4" t="s">
        <v>58</v>
      </c>
      <c r="G124" s="3" t="s">
        <v>2914</v>
      </c>
      <c r="H124" s="3"/>
      <c r="I124" s="3" t="s">
        <v>993</v>
      </c>
      <c r="J124" s="3" t="s">
        <v>61</v>
      </c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39" x14ac:dyDescent="0.25">
      <c r="A125" s="1">
        <v>41019</v>
      </c>
      <c r="B125" s="1">
        <v>41034</v>
      </c>
      <c r="C125" s="2">
        <f t="shared" si="1"/>
        <v>16</v>
      </c>
      <c r="D125" s="6" t="s">
        <v>3078</v>
      </c>
      <c r="E125" s="3" t="s">
        <v>3079</v>
      </c>
      <c r="F125" s="4" t="s">
        <v>58</v>
      </c>
      <c r="G125" s="3" t="s">
        <v>3080</v>
      </c>
      <c r="H125" s="3" t="s">
        <v>3081</v>
      </c>
      <c r="I125" s="3" t="s">
        <v>993</v>
      </c>
      <c r="J125" s="3" t="s">
        <v>61</v>
      </c>
      <c r="K125" s="3"/>
      <c r="L125" s="3"/>
      <c r="M125" s="3"/>
      <c r="N125" s="3"/>
      <c r="O125" s="3"/>
      <c r="P125" s="3"/>
      <c r="Q125" s="3"/>
      <c r="R125" s="3"/>
      <c r="S125" s="3"/>
    </row>
    <row r="126" spans="1:19" ht="39" x14ac:dyDescent="0.25">
      <c r="A126" s="1">
        <v>41019</v>
      </c>
      <c r="B126" s="1">
        <v>41034</v>
      </c>
      <c r="C126" s="2">
        <f t="shared" si="1"/>
        <v>16</v>
      </c>
      <c r="D126" s="6" t="s">
        <v>3083</v>
      </c>
      <c r="E126" s="3" t="s">
        <v>3083</v>
      </c>
      <c r="F126" s="4" t="s">
        <v>58</v>
      </c>
      <c r="G126" s="3" t="s">
        <v>3084</v>
      </c>
      <c r="H126" s="3"/>
      <c r="I126" s="3" t="s">
        <v>60</v>
      </c>
      <c r="J126" s="3" t="s">
        <v>61</v>
      </c>
      <c r="K126" s="3"/>
      <c r="L126" s="3"/>
      <c r="M126" s="3"/>
      <c r="N126" s="3"/>
      <c r="O126" s="3"/>
      <c r="P126" s="3"/>
      <c r="Q126" s="3"/>
      <c r="R126" s="3"/>
      <c r="S126" s="3"/>
    </row>
    <row r="127" spans="1:19" ht="26.25" x14ac:dyDescent="0.25">
      <c r="A127" s="1">
        <v>41117</v>
      </c>
      <c r="B127" s="1">
        <v>41132</v>
      </c>
      <c r="C127" s="2">
        <f t="shared" si="1"/>
        <v>16</v>
      </c>
      <c r="D127" s="6" t="s">
        <v>3734</v>
      </c>
      <c r="E127" s="3" t="s">
        <v>3735</v>
      </c>
      <c r="F127" s="4" t="s">
        <v>58</v>
      </c>
      <c r="G127" s="3" t="s">
        <v>2914</v>
      </c>
      <c r="H127" s="3"/>
      <c r="I127" s="3" t="s">
        <v>993</v>
      </c>
      <c r="J127" s="3" t="s">
        <v>61</v>
      </c>
      <c r="K127" s="3"/>
      <c r="L127" s="3"/>
      <c r="M127" s="3"/>
      <c r="N127" s="3"/>
      <c r="O127" s="3"/>
      <c r="P127" s="3"/>
      <c r="Q127" s="3"/>
      <c r="R127" s="3"/>
      <c r="S127" s="3"/>
    </row>
    <row r="128" spans="1:19" ht="51.75" x14ac:dyDescent="0.25">
      <c r="A128" s="1">
        <v>40880</v>
      </c>
      <c r="B128" s="1">
        <v>40894</v>
      </c>
      <c r="C128" s="2">
        <f t="shared" si="1"/>
        <v>15</v>
      </c>
      <c r="D128" s="6" t="s">
        <v>2478</v>
      </c>
      <c r="E128" s="3" t="s">
        <v>2479</v>
      </c>
      <c r="F128" s="4" t="s">
        <v>58</v>
      </c>
      <c r="G128" s="3" t="s">
        <v>2480</v>
      </c>
      <c r="H128" s="3"/>
      <c r="I128" s="3" t="s">
        <v>85</v>
      </c>
      <c r="J128" s="3" t="s">
        <v>61</v>
      </c>
      <c r="K128" s="3"/>
      <c r="L128" s="3"/>
      <c r="M128" s="3"/>
      <c r="N128" s="3"/>
      <c r="O128" s="3"/>
      <c r="P128" s="3"/>
      <c r="Q128" s="3"/>
      <c r="R128" s="3"/>
      <c r="S128" s="3"/>
    </row>
    <row r="129" spans="1:19" ht="39" x14ac:dyDescent="0.25">
      <c r="A129" s="1">
        <v>41159</v>
      </c>
      <c r="B129" s="1">
        <v>41171</v>
      </c>
      <c r="C129" s="2">
        <f t="shared" ref="C129:C192" si="2">(B129-A129)+1</f>
        <v>13</v>
      </c>
      <c r="D129" s="6" t="s">
        <v>3911</v>
      </c>
      <c r="E129" s="3" t="s">
        <v>3912</v>
      </c>
      <c r="F129" s="4" t="s">
        <v>58</v>
      </c>
      <c r="G129" s="3" t="s">
        <v>3603</v>
      </c>
      <c r="H129" s="3"/>
      <c r="I129" s="3" t="s">
        <v>77</v>
      </c>
      <c r="J129" s="3" t="s">
        <v>61</v>
      </c>
      <c r="K129" s="3"/>
      <c r="L129" s="3"/>
      <c r="M129" s="3"/>
      <c r="N129" s="3"/>
      <c r="O129" s="3"/>
      <c r="P129" s="3"/>
      <c r="Q129" s="3"/>
      <c r="R129" s="3"/>
      <c r="S129" s="3"/>
    </row>
    <row r="130" spans="1:19" ht="26.25" x14ac:dyDescent="0.25">
      <c r="A130" s="1">
        <v>40884</v>
      </c>
      <c r="B130" s="1">
        <v>40895</v>
      </c>
      <c r="C130" s="2">
        <f t="shared" si="2"/>
        <v>12</v>
      </c>
      <c r="D130" s="6" t="s">
        <v>2543</v>
      </c>
      <c r="E130" s="3" t="s">
        <v>2544</v>
      </c>
      <c r="F130" s="4" t="s">
        <v>58</v>
      </c>
      <c r="G130" s="3" t="s">
        <v>2414</v>
      </c>
      <c r="H130" s="3" t="s">
        <v>1628</v>
      </c>
      <c r="I130" s="3" t="s">
        <v>227</v>
      </c>
      <c r="J130" s="3" t="s">
        <v>61</v>
      </c>
      <c r="K130" s="3"/>
      <c r="L130" s="3"/>
      <c r="M130" s="3"/>
      <c r="N130" s="3"/>
      <c r="O130" s="3"/>
      <c r="P130" s="3"/>
      <c r="Q130" s="3"/>
      <c r="R130" s="3"/>
      <c r="S130" s="3"/>
    </row>
    <row r="131" spans="1:19" ht="51.75" x14ac:dyDescent="0.25">
      <c r="A131" s="1">
        <v>40809</v>
      </c>
      <c r="B131" s="1">
        <v>40818</v>
      </c>
      <c r="C131" s="2">
        <f t="shared" si="2"/>
        <v>10</v>
      </c>
      <c r="D131" s="6" t="s">
        <v>339</v>
      </c>
      <c r="E131" s="3" t="s">
        <v>340</v>
      </c>
      <c r="F131" s="4" t="s">
        <v>58</v>
      </c>
      <c r="G131" s="3" t="s">
        <v>302</v>
      </c>
      <c r="H131" s="3"/>
      <c r="I131" s="3" t="s">
        <v>303</v>
      </c>
      <c r="J131" s="3" t="s">
        <v>61</v>
      </c>
      <c r="K131" s="3"/>
      <c r="L131" s="3"/>
      <c r="M131" s="3"/>
      <c r="N131" s="3"/>
      <c r="O131" s="3"/>
      <c r="P131" s="3"/>
      <c r="Q131" s="3"/>
      <c r="R131" s="3"/>
      <c r="S131" s="3"/>
    </row>
    <row r="132" spans="1:19" ht="26.25" x14ac:dyDescent="0.25">
      <c r="A132" s="1">
        <v>40823</v>
      </c>
      <c r="B132" s="1">
        <v>40832</v>
      </c>
      <c r="C132" s="2">
        <f t="shared" si="2"/>
        <v>10</v>
      </c>
      <c r="D132" s="6" t="s">
        <v>931</v>
      </c>
      <c r="E132" s="3" t="s">
        <v>931</v>
      </c>
      <c r="F132" s="4" t="s">
        <v>58</v>
      </c>
      <c r="G132" s="3" t="s">
        <v>297</v>
      </c>
      <c r="H132" s="3"/>
      <c r="I132" s="3" t="s">
        <v>60</v>
      </c>
      <c r="J132" s="3" t="s">
        <v>61</v>
      </c>
      <c r="K132" s="3"/>
      <c r="L132" s="3"/>
      <c r="M132" s="3"/>
      <c r="N132" s="3"/>
      <c r="O132" s="3"/>
      <c r="P132" s="3"/>
      <c r="Q132" s="3"/>
      <c r="R132" s="3"/>
      <c r="S132" s="3"/>
    </row>
    <row r="133" spans="1:19" ht="51.75" x14ac:dyDescent="0.25">
      <c r="A133" s="1">
        <v>40829</v>
      </c>
      <c r="B133" s="1">
        <v>40838</v>
      </c>
      <c r="C133" s="2">
        <f t="shared" si="2"/>
        <v>10</v>
      </c>
      <c r="D133" s="6" t="s">
        <v>1191</v>
      </c>
      <c r="E133" s="3" t="s">
        <v>1192</v>
      </c>
      <c r="F133" s="4" t="s">
        <v>58</v>
      </c>
      <c r="G133" s="3" t="s">
        <v>1193</v>
      </c>
      <c r="H133" s="3"/>
      <c r="I133" s="3" t="s">
        <v>303</v>
      </c>
      <c r="J133" s="3" t="s">
        <v>61</v>
      </c>
      <c r="K133" s="3"/>
      <c r="L133" s="3"/>
      <c r="M133" s="3"/>
      <c r="N133" s="3"/>
      <c r="O133" s="3"/>
      <c r="P133" s="3"/>
      <c r="Q133" s="3"/>
      <c r="R133" s="3"/>
      <c r="S133" s="3"/>
    </row>
    <row r="134" spans="1:19" ht="39" x14ac:dyDescent="0.25">
      <c r="A134" s="1">
        <v>40830</v>
      </c>
      <c r="B134" s="1">
        <v>40839</v>
      </c>
      <c r="C134" s="2">
        <f t="shared" si="2"/>
        <v>10</v>
      </c>
      <c r="D134" s="6" t="s">
        <v>1229</v>
      </c>
      <c r="E134" s="3" t="s">
        <v>1230</v>
      </c>
      <c r="F134" s="4" t="s">
        <v>58</v>
      </c>
      <c r="G134" s="3" t="s">
        <v>1231</v>
      </c>
      <c r="H134" s="3" t="s">
        <v>1232</v>
      </c>
      <c r="I134" s="3" t="s">
        <v>227</v>
      </c>
      <c r="J134" s="3" t="s">
        <v>61</v>
      </c>
      <c r="K134" s="3"/>
      <c r="L134" s="3"/>
      <c r="M134" s="3"/>
      <c r="N134" s="3"/>
      <c r="O134" s="3"/>
      <c r="P134" s="3"/>
      <c r="Q134" s="3"/>
      <c r="R134" s="3"/>
      <c r="S134" s="3"/>
    </row>
    <row r="135" spans="1:19" ht="51.75" x14ac:dyDescent="0.25">
      <c r="A135" s="1">
        <v>40844</v>
      </c>
      <c r="B135" s="1">
        <v>40853</v>
      </c>
      <c r="C135" s="2">
        <f t="shared" si="2"/>
        <v>10</v>
      </c>
      <c r="D135" s="6" t="s">
        <v>1584</v>
      </c>
      <c r="E135" s="3" t="s">
        <v>1585</v>
      </c>
      <c r="F135" s="4" t="s">
        <v>58</v>
      </c>
      <c r="G135" s="3" t="s">
        <v>1231</v>
      </c>
      <c r="H135" s="3" t="s">
        <v>1232</v>
      </c>
      <c r="I135" s="3" t="s">
        <v>227</v>
      </c>
      <c r="J135" s="3" t="s">
        <v>61</v>
      </c>
      <c r="K135" s="3"/>
      <c r="L135" s="3"/>
      <c r="M135" s="3"/>
      <c r="N135" s="3"/>
      <c r="O135" s="3"/>
      <c r="P135" s="3"/>
      <c r="Q135" s="3"/>
      <c r="R135" s="3"/>
      <c r="S135" s="3"/>
    </row>
    <row r="136" spans="1:19" ht="64.5" x14ac:dyDescent="0.25">
      <c r="A136" s="1">
        <v>40851</v>
      </c>
      <c r="B136" s="1">
        <v>40860</v>
      </c>
      <c r="C136" s="2">
        <f t="shared" si="2"/>
        <v>10</v>
      </c>
      <c r="D136" s="6" t="s">
        <v>1717</v>
      </c>
      <c r="E136" s="3" t="s">
        <v>3995</v>
      </c>
      <c r="F136" s="4" t="s">
        <v>58</v>
      </c>
      <c r="G136" s="3" t="s">
        <v>302</v>
      </c>
      <c r="H136" s="3"/>
      <c r="I136" s="3" t="s">
        <v>303</v>
      </c>
      <c r="J136" s="3" t="s">
        <v>61</v>
      </c>
      <c r="K136" s="3"/>
      <c r="L136" s="3"/>
      <c r="M136" s="3"/>
      <c r="N136" s="3"/>
      <c r="O136" s="3"/>
      <c r="P136" s="3"/>
      <c r="Q136" s="3"/>
      <c r="R136" s="3"/>
      <c r="S136" s="3"/>
    </row>
    <row r="137" spans="1:19" ht="26.25" x14ac:dyDescent="0.25">
      <c r="A137" s="1">
        <v>40858</v>
      </c>
      <c r="B137" s="1">
        <v>40867</v>
      </c>
      <c r="C137" s="2">
        <f t="shared" si="2"/>
        <v>10</v>
      </c>
      <c r="D137" s="6" t="s">
        <v>1918</v>
      </c>
      <c r="E137" s="3" t="s">
        <v>1919</v>
      </c>
      <c r="F137" s="4" t="s">
        <v>58</v>
      </c>
      <c r="G137" s="3" t="s">
        <v>297</v>
      </c>
      <c r="H137" s="3"/>
      <c r="I137" s="3" t="s">
        <v>60</v>
      </c>
      <c r="J137" s="3" t="s">
        <v>61</v>
      </c>
      <c r="K137" s="3"/>
      <c r="L137" s="3"/>
      <c r="M137" s="3"/>
      <c r="N137" s="3"/>
      <c r="O137" s="3"/>
      <c r="P137" s="3"/>
      <c r="Q137" s="3"/>
      <c r="R137" s="3"/>
      <c r="S137" s="3"/>
    </row>
    <row r="138" spans="1:19" x14ac:dyDescent="0.25">
      <c r="A138" s="1">
        <v>40859</v>
      </c>
      <c r="B138" s="1">
        <v>40868</v>
      </c>
      <c r="C138" s="2">
        <f t="shared" si="2"/>
        <v>10</v>
      </c>
      <c r="D138" s="6" t="s">
        <v>1957</v>
      </c>
      <c r="E138" s="3" t="s">
        <v>1958</v>
      </c>
      <c r="F138" s="4" t="s">
        <v>58</v>
      </c>
      <c r="G138" s="3" t="s">
        <v>1348</v>
      </c>
      <c r="H138" s="3"/>
      <c r="I138" s="3" t="s">
        <v>105</v>
      </c>
      <c r="J138" s="3" t="s">
        <v>61</v>
      </c>
      <c r="K138" s="3"/>
      <c r="L138" s="3"/>
      <c r="M138" s="3"/>
      <c r="N138" s="3"/>
      <c r="O138" s="3"/>
      <c r="P138" s="3"/>
      <c r="Q138" s="3"/>
      <c r="R138" s="3"/>
      <c r="S138" s="3"/>
    </row>
    <row r="139" spans="1:19" ht="39" x14ac:dyDescent="0.25">
      <c r="A139" s="1">
        <v>40879</v>
      </c>
      <c r="B139" s="1">
        <v>40888</v>
      </c>
      <c r="C139" s="2">
        <f t="shared" si="2"/>
        <v>10</v>
      </c>
      <c r="D139" s="6" t="s">
        <v>2312</v>
      </c>
      <c r="E139" s="3" t="s">
        <v>2312</v>
      </c>
      <c r="F139" s="4" t="s">
        <v>58</v>
      </c>
      <c r="G139" s="3" t="s">
        <v>1721</v>
      </c>
      <c r="H139" s="3" t="s">
        <v>2313</v>
      </c>
      <c r="I139" s="3" t="s">
        <v>60</v>
      </c>
      <c r="J139" s="3" t="s">
        <v>61</v>
      </c>
      <c r="K139" s="3"/>
      <c r="L139" s="3"/>
      <c r="M139" s="3"/>
      <c r="N139" s="3"/>
      <c r="O139" s="3"/>
      <c r="P139" s="3"/>
      <c r="Q139" s="3"/>
      <c r="R139" s="3"/>
      <c r="S139" s="3"/>
    </row>
    <row r="140" spans="1:19" ht="26.25" x14ac:dyDescent="0.25">
      <c r="A140" s="1">
        <v>40886</v>
      </c>
      <c r="B140" s="1">
        <v>40895</v>
      </c>
      <c r="C140" s="2">
        <f t="shared" si="2"/>
        <v>10</v>
      </c>
      <c r="D140" s="6" t="s">
        <v>2568</v>
      </c>
      <c r="E140" s="3" t="s">
        <v>2569</v>
      </c>
      <c r="F140" s="5" t="s">
        <v>58</v>
      </c>
      <c r="G140" s="3" t="s">
        <v>297</v>
      </c>
      <c r="H140" s="3"/>
      <c r="I140" s="3" t="s">
        <v>60</v>
      </c>
      <c r="J140" s="3" t="s">
        <v>61</v>
      </c>
      <c r="K140" s="3"/>
      <c r="L140" s="3"/>
      <c r="M140" s="3"/>
      <c r="N140" s="3"/>
      <c r="O140" s="3"/>
      <c r="P140" s="3"/>
      <c r="Q140" s="3"/>
      <c r="R140" s="3"/>
      <c r="S140" s="3"/>
    </row>
    <row r="141" spans="1:19" ht="51.75" x14ac:dyDescent="0.25">
      <c r="A141" s="1">
        <v>40886</v>
      </c>
      <c r="B141" s="1">
        <v>40895</v>
      </c>
      <c r="C141" s="2">
        <f t="shared" si="2"/>
        <v>10</v>
      </c>
      <c r="D141" s="6" t="s">
        <v>2570</v>
      </c>
      <c r="E141" s="3" t="s">
        <v>2571</v>
      </c>
      <c r="F141" s="4" t="s">
        <v>58</v>
      </c>
      <c r="G141" s="3" t="s">
        <v>2141</v>
      </c>
      <c r="H141" s="3" t="s">
        <v>2142</v>
      </c>
      <c r="I141" s="3" t="s">
        <v>105</v>
      </c>
      <c r="J141" s="3" t="s">
        <v>61</v>
      </c>
      <c r="K141" s="3"/>
      <c r="L141" s="3"/>
      <c r="M141" s="3"/>
      <c r="N141" s="3"/>
      <c r="O141" s="3"/>
      <c r="P141" s="3"/>
      <c r="Q141" s="3"/>
      <c r="R141" s="3"/>
      <c r="S141" s="3"/>
    </row>
    <row r="142" spans="1:19" ht="26.25" x14ac:dyDescent="0.25">
      <c r="A142" s="1">
        <v>40928</v>
      </c>
      <c r="B142" s="1">
        <v>40937</v>
      </c>
      <c r="C142" s="2">
        <f t="shared" si="2"/>
        <v>10</v>
      </c>
      <c r="D142" s="6" t="s">
        <v>2729</v>
      </c>
      <c r="E142" s="3" t="s">
        <v>2730</v>
      </c>
      <c r="F142" s="4" t="s">
        <v>58</v>
      </c>
      <c r="G142" s="3" t="s">
        <v>344</v>
      </c>
      <c r="H142" s="3" t="s">
        <v>345</v>
      </c>
      <c r="I142" s="3" t="s">
        <v>105</v>
      </c>
      <c r="J142" s="3" t="s">
        <v>61</v>
      </c>
      <c r="K142" s="3"/>
      <c r="L142" s="3"/>
      <c r="M142" s="3"/>
      <c r="N142" s="3"/>
      <c r="O142" s="3"/>
      <c r="P142" s="3"/>
      <c r="Q142" s="3"/>
      <c r="R142" s="3"/>
      <c r="S142" s="3"/>
    </row>
    <row r="143" spans="1:19" ht="26.25" x14ac:dyDescent="0.25">
      <c r="A143" s="1">
        <v>40949</v>
      </c>
      <c r="B143" s="1">
        <v>40958</v>
      </c>
      <c r="C143" s="2">
        <f t="shared" si="2"/>
        <v>10</v>
      </c>
      <c r="D143" s="6" t="s">
        <v>2819</v>
      </c>
      <c r="E143" s="3" t="s">
        <v>2820</v>
      </c>
      <c r="F143" s="4" t="s">
        <v>58</v>
      </c>
      <c r="G143" s="3" t="s">
        <v>297</v>
      </c>
      <c r="H143" s="3"/>
      <c r="I143" s="3" t="s">
        <v>60</v>
      </c>
      <c r="J143" s="3" t="s">
        <v>61</v>
      </c>
      <c r="K143" s="3"/>
      <c r="L143" s="3"/>
      <c r="M143" s="3"/>
      <c r="N143" s="3"/>
      <c r="O143" s="3"/>
      <c r="P143" s="3"/>
      <c r="Q143" s="3"/>
      <c r="R143" s="3"/>
      <c r="S143" s="3"/>
    </row>
    <row r="144" spans="1:19" ht="26.25" x14ac:dyDescent="0.25">
      <c r="A144" s="1">
        <v>40963</v>
      </c>
      <c r="B144" s="1">
        <v>40972</v>
      </c>
      <c r="C144" s="2">
        <f t="shared" si="2"/>
        <v>10</v>
      </c>
      <c r="D144" s="6" t="s">
        <v>2909</v>
      </c>
      <c r="E144" s="3" t="s">
        <v>2910</v>
      </c>
      <c r="F144" s="8" t="s">
        <v>58</v>
      </c>
      <c r="G144" s="3" t="s">
        <v>344</v>
      </c>
      <c r="H144" s="3" t="s">
        <v>345</v>
      </c>
      <c r="I144" s="3" t="s">
        <v>105</v>
      </c>
      <c r="J144" s="3" t="s">
        <v>61</v>
      </c>
      <c r="K144" s="3"/>
      <c r="L144" s="3"/>
      <c r="M144" s="3"/>
      <c r="N144" s="3"/>
      <c r="O144" s="3"/>
      <c r="P144" s="3"/>
      <c r="Q144" s="3"/>
      <c r="R144" s="3"/>
      <c r="S144" s="3"/>
    </row>
    <row r="145" spans="1:19" ht="51.75" x14ac:dyDescent="0.25">
      <c r="A145" s="1">
        <v>40963</v>
      </c>
      <c r="B145" s="1">
        <v>40972</v>
      </c>
      <c r="C145" s="2">
        <f t="shared" si="2"/>
        <v>10</v>
      </c>
      <c r="D145" s="6" t="s">
        <v>2911</v>
      </c>
      <c r="E145" s="3" t="s">
        <v>3997</v>
      </c>
      <c r="F145" s="5" t="s">
        <v>58</v>
      </c>
      <c r="G145" s="3" t="s">
        <v>302</v>
      </c>
      <c r="H145" s="3"/>
      <c r="I145" s="3" t="s">
        <v>303</v>
      </c>
      <c r="J145" s="3" t="s">
        <v>61</v>
      </c>
      <c r="K145" s="3"/>
      <c r="L145" s="3"/>
      <c r="M145" s="3"/>
      <c r="N145" s="3"/>
      <c r="O145" s="3"/>
      <c r="P145" s="3"/>
      <c r="Q145" s="3"/>
      <c r="R145" s="3"/>
      <c r="S145" s="3"/>
    </row>
    <row r="146" spans="1:19" ht="26.25" x14ac:dyDescent="0.25">
      <c r="A146" s="1">
        <v>41005</v>
      </c>
      <c r="B146" s="1">
        <v>41014</v>
      </c>
      <c r="C146" s="2">
        <f t="shared" si="2"/>
        <v>10</v>
      </c>
      <c r="D146" s="6" t="s">
        <v>3042</v>
      </c>
      <c r="E146" s="3" t="s">
        <v>3042</v>
      </c>
      <c r="F146" s="4" t="s">
        <v>58</v>
      </c>
      <c r="G146" s="3" t="s">
        <v>297</v>
      </c>
      <c r="H146" s="3"/>
      <c r="I146" s="3" t="s">
        <v>60</v>
      </c>
      <c r="J146" s="3" t="s">
        <v>61</v>
      </c>
      <c r="K146" s="3"/>
      <c r="L146" s="3"/>
      <c r="M146" s="3"/>
      <c r="N146" s="3"/>
      <c r="O146" s="3"/>
      <c r="P146" s="3"/>
      <c r="Q146" s="3"/>
      <c r="R146" s="3"/>
      <c r="S146" s="3"/>
    </row>
    <row r="147" spans="1:19" ht="51.75" x14ac:dyDescent="0.25">
      <c r="A147" s="1">
        <v>41026</v>
      </c>
      <c r="B147" s="1">
        <v>41035</v>
      </c>
      <c r="C147" s="2">
        <f t="shared" si="2"/>
        <v>10</v>
      </c>
      <c r="D147" s="6" t="s">
        <v>3136</v>
      </c>
      <c r="E147" s="3" t="s">
        <v>3996</v>
      </c>
      <c r="F147" s="4" t="s">
        <v>58</v>
      </c>
      <c r="G147" s="3" t="s">
        <v>302</v>
      </c>
      <c r="H147" s="3"/>
      <c r="I147" s="3" t="s">
        <v>303</v>
      </c>
      <c r="J147" s="3" t="s">
        <v>61</v>
      </c>
      <c r="K147" s="3"/>
      <c r="L147" s="3"/>
      <c r="M147" s="3"/>
      <c r="N147" s="3"/>
      <c r="O147" s="3"/>
      <c r="P147" s="3"/>
      <c r="Q147" s="3"/>
      <c r="R147" s="3"/>
      <c r="S147" s="3"/>
    </row>
    <row r="148" spans="1:19" ht="26.25" x14ac:dyDescent="0.25">
      <c r="A148" s="1">
        <v>41131</v>
      </c>
      <c r="B148" s="1">
        <v>41140</v>
      </c>
      <c r="C148" s="2">
        <f t="shared" si="2"/>
        <v>10</v>
      </c>
      <c r="D148" s="6" t="s">
        <v>3809</v>
      </c>
      <c r="E148" s="3" t="s">
        <v>3809</v>
      </c>
      <c r="F148" s="4" t="s">
        <v>58</v>
      </c>
      <c r="G148" s="3" t="s">
        <v>297</v>
      </c>
      <c r="H148" s="3"/>
      <c r="I148" s="3" t="s">
        <v>60</v>
      </c>
      <c r="J148" s="3" t="s">
        <v>61</v>
      </c>
      <c r="K148" s="3"/>
      <c r="L148" s="3"/>
      <c r="M148" s="3"/>
      <c r="N148" s="3"/>
      <c r="O148" s="3"/>
      <c r="P148" s="3"/>
      <c r="Q148" s="3"/>
      <c r="R148" s="3"/>
      <c r="S148" s="3"/>
    </row>
    <row r="149" spans="1:19" ht="26.25" x14ac:dyDescent="0.25">
      <c r="A149" s="1">
        <v>40837</v>
      </c>
      <c r="B149" s="1">
        <v>40845</v>
      </c>
      <c r="C149" s="2">
        <f t="shared" si="2"/>
        <v>9</v>
      </c>
      <c r="D149" s="6" t="s">
        <v>1411</v>
      </c>
      <c r="E149" s="3" t="s">
        <v>1412</v>
      </c>
      <c r="F149" s="4" t="s">
        <v>58</v>
      </c>
      <c r="G149" s="3" t="s">
        <v>350</v>
      </c>
      <c r="H149" s="3"/>
      <c r="I149" s="3" t="s">
        <v>165</v>
      </c>
      <c r="J149" s="3" t="s">
        <v>61</v>
      </c>
      <c r="K149" s="3"/>
      <c r="L149" s="3"/>
      <c r="M149" s="3"/>
      <c r="N149" s="3"/>
      <c r="O149" s="3"/>
      <c r="P149" s="3"/>
      <c r="Q149" s="3"/>
      <c r="R149" s="3"/>
      <c r="S149" s="3"/>
    </row>
    <row r="150" spans="1:19" ht="26.25" x14ac:dyDescent="0.25">
      <c r="A150" s="1">
        <v>40837</v>
      </c>
      <c r="B150" s="1">
        <v>40845</v>
      </c>
      <c r="C150" s="2">
        <f t="shared" si="2"/>
        <v>9</v>
      </c>
      <c r="D150" s="6" t="s">
        <v>1413</v>
      </c>
      <c r="E150" s="3" t="s">
        <v>1414</v>
      </c>
      <c r="F150" s="4" t="s">
        <v>58</v>
      </c>
      <c r="G150" s="3" t="s">
        <v>1415</v>
      </c>
      <c r="H150" s="3"/>
      <c r="I150" s="3" t="s">
        <v>210</v>
      </c>
      <c r="J150" s="3" t="s">
        <v>61</v>
      </c>
      <c r="K150" s="3"/>
      <c r="L150" s="3"/>
      <c r="M150" s="3"/>
      <c r="N150" s="3"/>
      <c r="O150" s="3"/>
      <c r="P150" s="3"/>
      <c r="Q150" s="3"/>
      <c r="R150" s="3"/>
      <c r="S150" s="3"/>
    </row>
    <row r="151" spans="1:19" ht="26.25" x14ac:dyDescent="0.25">
      <c r="A151" s="1">
        <v>40837</v>
      </c>
      <c r="B151" s="1">
        <v>40845</v>
      </c>
      <c r="C151" s="2">
        <f t="shared" si="2"/>
        <v>9</v>
      </c>
      <c r="D151" s="6" t="s">
        <v>1419</v>
      </c>
      <c r="E151" s="3" t="s">
        <v>1420</v>
      </c>
      <c r="F151" s="4" t="s">
        <v>58</v>
      </c>
      <c r="G151" s="3" t="s">
        <v>1421</v>
      </c>
      <c r="H151" s="3"/>
      <c r="I151" s="3" t="s">
        <v>518</v>
      </c>
      <c r="J151" s="3" t="s">
        <v>61</v>
      </c>
      <c r="K151" s="3"/>
      <c r="L151" s="3"/>
      <c r="M151" s="3"/>
      <c r="N151" s="3"/>
      <c r="O151" s="3"/>
      <c r="P151" s="3"/>
      <c r="Q151" s="3"/>
      <c r="R151" s="3"/>
      <c r="S151" s="3"/>
    </row>
    <row r="152" spans="1:19" ht="26.25" x14ac:dyDescent="0.25">
      <c r="A152" s="1">
        <v>40872</v>
      </c>
      <c r="B152" s="1">
        <v>40880</v>
      </c>
      <c r="C152" s="2">
        <f t="shared" si="2"/>
        <v>9</v>
      </c>
      <c r="D152" s="6" t="s">
        <v>2109</v>
      </c>
      <c r="E152" s="3" t="s">
        <v>2110</v>
      </c>
      <c r="F152" s="4" t="s">
        <v>58</v>
      </c>
      <c r="G152" s="3" t="s">
        <v>663</v>
      </c>
      <c r="H152" s="3"/>
      <c r="I152" s="3" t="s">
        <v>165</v>
      </c>
      <c r="J152" s="3" t="s">
        <v>61</v>
      </c>
      <c r="K152" s="3"/>
      <c r="L152" s="3"/>
      <c r="M152" s="3"/>
      <c r="N152" s="3"/>
      <c r="O152" s="3"/>
      <c r="P152" s="3"/>
      <c r="Q152" s="3"/>
      <c r="R152" s="3"/>
      <c r="S152" s="3"/>
    </row>
    <row r="153" spans="1:19" ht="51.75" x14ac:dyDescent="0.25">
      <c r="A153" s="1">
        <v>40892</v>
      </c>
      <c r="B153" s="1">
        <v>40900</v>
      </c>
      <c r="C153" s="2">
        <f t="shared" si="2"/>
        <v>9</v>
      </c>
      <c r="D153" s="6" t="s">
        <v>2636</v>
      </c>
      <c r="E153" s="3" t="s">
        <v>2637</v>
      </c>
      <c r="F153" s="4" t="s">
        <v>58</v>
      </c>
      <c r="G153" s="3" t="s">
        <v>2278</v>
      </c>
      <c r="H153" s="3"/>
      <c r="I153" s="3" t="s">
        <v>797</v>
      </c>
      <c r="J153" s="3" t="s">
        <v>61</v>
      </c>
      <c r="K153" s="3"/>
      <c r="L153" s="3"/>
      <c r="M153" s="3"/>
      <c r="N153" s="3"/>
      <c r="O153" s="3"/>
      <c r="P153" s="3"/>
      <c r="Q153" s="3"/>
      <c r="R153" s="3"/>
      <c r="S153" s="3"/>
    </row>
    <row r="154" spans="1:19" ht="26.25" x14ac:dyDescent="0.25">
      <c r="A154" s="1">
        <v>41082</v>
      </c>
      <c r="B154" s="1">
        <v>41090</v>
      </c>
      <c r="C154" s="2">
        <f t="shared" si="2"/>
        <v>9</v>
      </c>
      <c r="D154" s="6" t="s">
        <v>3502</v>
      </c>
      <c r="E154" s="3" t="s">
        <v>3503</v>
      </c>
      <c r="F154" s="4" t="s">
        <v>58</v>
      </c>
      <c r="G154" s="3" t="s">
        <v>297</v>
      </c>
      <c r="H154" s="3"/>
      <c r="I154" s="3" t="s">
        <v>60</v>
      </c>
      <c r="J154" s="3" t="s">
        <v>61</v>
      </c>
      <c r="K154" s="3"/>
      <c r="L154" s="3"/>
      <c r="M154" s="3"/>
      <c r="N154" s="3"/>
      <c r="O154" s="3"/>
      <c r="P154" s="3"/>
      <c r="Q154" s="3"/>
      <c r="R154" s="3"/>
      <c r="S154" s="3"/>
    </row>
    <row r="155" spans="1:19" ht="26.25" x14ac:dyDescent="0.25">
      <c r="A155" s="1">
        <v>41110</v>
      </c>
      <c r="B155" s="1">
        <v>41118</v>
      </c>
      <c r="C155" s="2">
        <f t="shared" si="2"/>
        <v>9</v>
      </c>
      <c r="D155" s="6" t="s">
        <v>3680</v>
      </c>
      <c r="E155" s="3" t="s">
        <v>3681</v>
      </c>
      <c r="F155" s="4" t="s">
        <v>58</v>
      </c>
      <c r="G155" s="3" t="s">
        <v>3682</v>
      </c>
      <c r="H155" s="3" t="s">
        <v>1123</v>
      </c>
      <c r="I155" s="3" t="s">
        <v>978</v>
      </c>
      <c r="J155" s="3" t="s">
        <v>61</v>
      </c>
      <c r="K155" s="3"/>
      <c r="L155" s="3"/>
      <c r="M155" s="3"/>
      <c r="N155" s="3"/>
      <c r="O155" s="3"/>
      <c r="P155" s="3"/>
      <c r="Q155" s="3"/>
      <c r="R155" s="3"/>
      <c r="S155" s="3"/>
    </row>
    <row r="156" spans="1:19" ht="64.5" x14ac:dyDescent="0.25">
      <c r="A156" s="1">
        <v>41134</v>
      </c>
      <c r="B156" s="1">
        <v>41142</v>
      </c>
      <c r="C156" s="2">
        <f t="shared" si="2"/>
        <v>9</v>
      </c>
      <c r="D156" s="6" t="s">
        <v>3816</v>
      </c>
      <c r="E156" s="3" t="s">
        <v>3817</v>
      </c>
      <c r="F156" s="4" t="s">
        <v>58</v>
      </c>
      <c r="G156" s="3" t="s">
        <v>3818</v>
      </c>
      <c r="H156" s="3"/>
      <c r="I156" s="3" t="s">
        <v>105</v>
      </c>
      <c r="J156" s="3" t="s">
        <v>61</v>
      </c>
      <c r="K156" s="3"/>
      <c r="L156" s="3"/>
      <c r="M156" s="3"/>
      <c r="N156" s="3"/>
      <c r="O156" s="3"/>
      <c r="P156" s="3"/>
      <c r="Q156" s="3"/>
      <c r="R156" s="3"/>
      <c r="S156" s="3"/>
    </row>
    <row r="157" spans="1:19" ht="39" x14ac:dyDescent="0.25">
      <c r="A157" s="1">
        <v>40817</v>
      </c>
      <c r="B157" s="1">
        <v>40823</v>
      </c>
      <c r="C157" s="2">
        <f t="shared" si="2"/>
        <v>7</v>
      </c>
      <c r="D157" s="6" t="s">
        <v>697</v>
      </c>
      <c r="E157" s="3" t="s">
        <v>697</v>
      </c>
      <c r="F157" s="4" t="s">
        <v>58</v>
      </c>
      <c r="G157" s="3" t="s">
        <v>698</v>
      </c>
      <c r="H157" s="3" t="s">
        <v>699</v>
      </c>
      <c r="I157" s="3" t="s">
        <v>193</v>
      </c>
      <c r="J157" s="3" t="s">
        <v>61</v>
      </c>
      <c r="K157" s="3"/>
      <c r="L157" s="3"/>
      <c r="M157" s="3"/>
      <c r="N157" s="3"/>
      <c r="O157" s="3"/>
      <c r="P157" s="3"/>
      <c r="Q157" s="3"/>
      <c r="R157" s="3"/>
      <c r="S157" s="3"/>
    </row>
    <row r="158" spans="1:19" ht="39" x14ac:dyDescent="0.25">
      <c r="A158" s="1">
        <v>41122</v>
      </c>
      <c r="B158" s="1">
        <v>41128</v>
      </c>
      <c r="C158" s="2">
        <f t="shared" si="2"/>
        <v>7</v>
      </c>
      <c r="D158" s="6" t="s">
        <v>3758</v>
      </c>
      <c r="E158" s="3" t="s">
        <v>3759</v>
      </c>
      <c r="F158" s="4" t="s">
        <v>58</v>
      </c>
      <c r="G158" s="3" t="s">
        <v>3760</v>
      </c>
      <c r="H158" s="3"/>
      <c r="I158" s="3" t="s">
        <v>2649</v>
      </c>
      <c r="J158" s="3" t="s">
        <v>61</v>
      </c>
      <c r="K158" s="3"/>
      <c r="L158" s="3"/>
      <c r="M158" s="3"/>
      <c r="N158" s="3"/>
      <c r="O158" s="3"/>
      <c r="P158" s="3"/>
      <c r="Q158" s="3"/>
      <c r="R158" s="3"/>
      <c r="S158" s="3"/>
    </row>
    <row r="159" spans="1:19" ht="39" x14ac:dyDescent="0.25">
      <c r="A159" s="1">
        <v>41122</v>
      </c>
      <c r="B159" s="1">
        <v>41128</v>
      </c>
      <c r="C159" s="2">
        <f t="shared" si="2"/>
        <v>7</v>
      </c>
      <c r="D159" s="6" t="s">
        <v>3762</v>
      </c>
      <c r="E159" s="3" t="s">
        <v>3763</v>
      </c>
      <c r="F159" s="4" t="s">
        <v>58</v>
      </c>
      <c r="G159" s="3" t="s">
        <v>3764</v>
      </c>
      <c r="H159" s="3" t="s">
        <v>3765</v>
      </c>
      <c r="I159" s="3" t="s">
        <v>2649</v>
      </c>
      <c r="J159" s="3" t="s">
        <v>61</v>
      </c>
      <c r="K159" s="3"/>
      <c r="L159" s="3"/>
      <c r="M159" s="3"/>
      <c r="N159" s="3"/>
      <c r="O159" s="3"/>
      <c r="P159" s="3"/>
      <c r="Q159" s="3"/>
      <c r="R159" s="3"/>
      <c r="S159" s="3"/>
    </row>
    <row r="160" spans="1:19" ht="51.75" x14ac:dyDescent="0.25">
      <c r="A160" s="1">
        <v>40820</v>
      </c>
      <c r="B160" s="1">
        <v>40825</v>
      </c>
      <c r="C160" s="2">
        <f t="shared" si="2"/>
        <v>6</v>
      </c>
      <c r="D160" s="6" t="s">
        <v>785</v>
      </c>
      <c r="E160" s="3" t="s">
        <v>786</v>
      </c>
      <c r="F160" s="4" t="s">
        <v>58</v>
      </c>
      <c r="G160" s="3" t="s">
        <v>787</v>
      </c>
      <c r="H160" s="3" t="s">
        <v>788</v>
      </c>
      <c r="I160" s="3" t="s">
        <v>789</v>
      </c>
      <c r="J160" s="3" t="s">
        <v>61</v>
      </c>
      <c r="K160" s="3"/>
      <c r="L160" s="3"/>
      <c r="M160" s="3"/>
      <c r="N160" s="3"/>
      <c r="O160" s="3"/>
      <c r="P160" s="3"/>
      <c r="Q160" s="3"/>
      <c r="R160" s="3"/>
      <c r="S160" s="3"/>
    </row>
    <row r="161" spans="1:19" ht="26.25" x14ac:dyDescent="0.25">
      <c r="A161" s="1">
        <v>40820</v>
      </c>
      <c r="B161" s="1">
        <v>40825</v>
      </c>
      <c r="C161" s="2">
        <f t="shared" si="2"/>
        <v>6</v>
      </c>
      <c r="D161" s="6" t="s">
        <v>779</v>
      </c>
      <c r="E161" s="3" t="s">
        <v>780</v>
      </c>
      <c r="F161" s="4" t="s">
        <v>58</v>
      </c>
      <c r="G161" s="3" t="s">
        <v>781</v>
      </c>
      <c r="H161" s="3" t="s">
        <v>782</v>
      </c>
      <c r="I161" s="3" t="s">
        <v>236</v>
      </c>
      <c r="J161" s="3" t="s">
        <v>61</v>
      </c>
      <c r="K161" s="3"/>
      <c r="L161" s="3"/>
      <c r="M161" s="3"/>
      <c r="N161" s="3"/>
      <c r="O161" s="3"/>
      <c r="P161" s="3"/>
      <c r="Q161" s="3"/>
      <c r="R161" s="3"/>
      <c r="S161" s="3"/>
    </row>
    <row r="162" spans="1:19" ht="39" x14ac:dyDescent="0.25">
      <c r="A162" s="1">
        <v>40826</v>
      </c>
      <c r="B162" s="1">
        <v>40831</v>
      </c>
      <c r="C162" s="2">
        <f t="shared" si="2"/>
        <v>6</v>
      </c>
      <c r="D162" s="6" t="s">
        <v>1137</v>
      </c>
      <c r="E162" s="3" t="s">
        <v>1138</v>
      </c>
      <c r="F162" s="4" t="s">
        <v>58</v>
      </c>
      <c r="G162" s="3" t="s">
        <v>1139</v>
      </c>
      <c r="H162" s="3" t="s">
        <v>1140</v>
      </c>
      <c r="I162" s="3" t="s">
        <v>227</v>
      </c>
      <c r="J162" s="3" t="s">
        <v>61</v>
      </c>
      <c r="K162" s="3"/>
      <c r="L162" s="3"/>
      <c r="M162" s="3"/>
      <c r="N162" s="3"/>
      <c r="O162" s="3"/>
      <c r="P162" s="3"/>
      <c r="Q162" s="3"/>
      <c r="R162" s="3"/>
      <c r="S162" s="3"/>
    </row>
    <row r="163" spans="1:19" ht="39" x14ac:dyDescent="0.25">
      <c r="A163" s="1">
        <v>40988</v>
      </c>
      <c r="B163" s="1">
        <v>40992</v>
      </c>
      <c r="C163" s="2">
        <f t="shared" si="2"/>
        <v>5</v>
      </c>
      <c r="D163" s="6" t="s">
        <v>3004</v>
      </c>
      <c r="E163" s="3" t="s">
        <v>3005</v>
      </c>
      <c r="F163" s="4" t="s">
        <v>58</v>
      </c>
      <c r="G163" s="3" t="s">
        <v>3006</v>
      </c>
      <c r="H163" s="3" t="s">
        <v>2940</v>
      </c>
      <c r="I163" s="3" t="s">
        <v>85</v>
      </c>
      <c r="J163" s="3" t="s">
        <v>61</v>
      </c>
      <c r="K163" s="3"/>
      <c r="L163" s="3"/>
      <c r="M163" s="3"/>
      <c r="N163" s="3"/>
      <c r="O163" s="3"/>
      <c r="P163" s="3"/>
      <c r="Q163" s="3"/>
      <c r="R163" s="3"/>
      <c r="S163" s="3"/>
    </row>
    <row r="164" spans="1:19" ht="26.25" x14ac:dyDescent="0.25">
      <c r="A164" s="1">
        <v>41009</v>
      </c>
      <c r="B164" s="1">
        <v>41013</v>
      </c>
      <c r="C164" s="2">
        <f t="shared" si="2"/>
        <v>5</v>
      </c>
      <c r="D164" s="6" t="s">
        <v>3045</v>
      </c>
      <c r="E164" s="3" t="s">
        <v>3046</v>
      </c>
      <c r="F164" s="4" t="s">
        <v>58</v>
      </c>
      <c r="G164" s="3" t="s">
        <v>1348</v>
      </c>
      <c r="H164" s="3" t="s">
        <v>2007</v>
      </c>
      <c r="I164" s="3" t="s">
        <v>105</v>
      </c>
      <c r="J164" s="3" t="s">
        <v>61</v>
      </c>
      <c r="K164" s="3"/>
      <c r="L164" s="3"/>
      <c r="M164" s="3"/>
      <c r="N164" s="3"/>
      <c r="O164" s="3"/>
      <c r="P164" s="3"/>
      <c r="Q164" s="3"/>
      <c r="R164" s="3"/>
      <c r="S164" s="3"/>
    </row>
    <row r="165" spans="1:19" ht="39" x14ac:dyDescent="0.25">
      <c r="A165" s="1">
        <v>41125</v>
      </c>
      <c r="B165" s="1">
        <v>41129</v>
      </c>
      <c r="C165" s="2">
        <f t="shared" si="2"/>
        <v>5</v>
      </c>
      <c r="D165" s="6" t="s">
        <v>3758</v>
      </c>
      <c r="E165" s="3" t="s">
        <v>3791</v>
      </c>
      <c r="F165" s="4" t="s">
        <v>58</v>
      </c>
      <c r="G165" s="3" t="s">
        <v>3792</v>
      </c>
      <c r="H165" s="3" t="s">
        <v>3793</v>
      </c>
      <c r="I165" s="3" t="s">
        <v>2649</v>
      </c>
      <c r="J165" s="3" t="s">
        <v>61</v>
      </c>
      <c r="K165" s="3"/>
      <c r="L165" s="3"/>
      <c r="M165" s="3"/>
      <c r="N165" s="3"/>
      <c r="O165" s="3"/>
      <c r="P165" s="3"/>
      <c r="Q165" s="3"/>
      <c r="R165" s="3"/>
      <c r="S165" s="3"/>
    </row>
    <row r="166" spans="1:19" ht="39" x14ac:dyDescent="0.25">
      <c r="A166" s="1">
        <v>40815</v>
      </c>
      <c r="B166" s="1">
        <v>40818</v>
      </c>
      <c r="C166" s="2">
        <f t="shared" si="2"/>
        <v>4</v>
      </c>
      <c r="D166" s="6" t="s">
        <v>426</v>
      </c>
      <c r="E166" s="3" t="s">
        <v>427</v>
      </c>
      <c r="F166" s="4" t="s">
        <v>58</v>
      </c>
      <c r="G166" s="3" t="s">
        <v>428</v>
      </c>
      <c r="H166" s="3" t="s">
        <v>429</v>
      </c>
      <c r="I166" s="3" t="s">
        <v>85</v>
      </c>
      <c r="J166" s="3" t="s">
        <v>61</v>
      </c>
      <c r="K166" s="3"/>
      <c r="L166" s="3"/>
      <c r="M166" s="3"/>
      <c r="N166" s="3"/>
      <c r="O166" s="3"/>
      <c r="P166" s="3"/>
      <c r="Q166" s="3"/>
      <c r="R166" s="3"/>
      <c r="S166" s="3"/>
    </row>
    <row r="167" spans="1:19" ht="51.75" x14ac:dyDescent="0.25">
      <c r="A167" s="1">
        <v>40821</v>
      </c>
      <c r="B167" s="1">
        <v>40824</v>
      </c>
      <c r="C167" s="2">
        <f t="shared" si="2"/>
        <v>4</v>
      </c>
      <c r="D167" s="6" t="s">
        <v>793</v>
      </c>
      <c r="E167" s="3" t="s">
        <v>794</v>
      </c>
      <c r="F167" s="4" t="s">
        <v>58</v>
      </c>
      <c r="G167" s="3" t="s">
        <v>795</v>
      </c>
      <c r="H167" s="3" t="s">
        <v>796</v>
      </c>
      <c r="I167" s="3" t="s">
        <v>797</v>
      </c>
      <c r="J167" s="3" t="s">
        <v>61</v>
      </c>
      <c r="K167" s="3"/>
      <c r="L167" s="3"/>
      <c r="M167" s="3"/>
      <c r="N167" s="3"/>
      <c r="O167" s="3"/>
      <c r="P167" s="3"/>
      <c r="Q167" s="3"/>
      <c r="R167" s="3"/>
      <c r="S167" s="3"/>
    </row>
    <row r="168" spans="1:19" ht="26.25" x14ac:dyDescent="0.25">
      <c r="A168" s="1">
        <v>40822</v>
      </c>
      <c r="B168" s="1">
        <v>40825</v>
      </c>
      <c r="C168" s="2">
        <f t="shared" si="2"/>
        <v>4</v>
      </c>
      <c r="D168" s="6" t="s">
        <v>828</v>
      </c>
      <c r="E168" s="3" t="s">
        <v>829</v>
      </c>
      <c r="F168" s="4" t="s">
        <v>58</v>
      </c>
      <c r="G168" s="3" t="s">
        <v>830</v>
      </c>
      <c r="H168" s="3" t="s">
        <v>831</v>
      </c>
      <c r="I168" s="3" t="s">
        <v>193</v>
      </c>
      <c r="J168" s="3" t="s">
        <v>61</v>
      </c>
      <c r="K168" s="3"/>
      <c r="L168" s="3"/>
      <c r="M168" s="3"/>
      <c r="N168" s="3"/>
      <c r="O168" s="3"/>
      <c r="P168" s="3"/>
      <c r="Q168" s="3"/>
      <c r="R168" s="3"/>
      <c r="S168" s="3"/>
    </row>
    <row r="169" spans="1:19" ht="39" x14ac:dyDescent="0.25">
      <c r="A169" s="1">
        <v>40828</v>
      </c>
      <c r="B169" s="1">
        <v>40831</v>
      </c>
      <c r="C169" s="2">
        <f t="shared" si="2"/>
        <v>4</v>
      </c>
      <c r="D169" s="6" t="s">
        <v>1166</v>
      </c>
      <c r="E169" s="3" t="s">
        <v>1167</v>
      </c>
      <c r="F169" s="4" t="s">
        <v>58</v>
      </c>
      <c r="G169" s="3" t="s">
        <v>1168</v>
      </c>
      <c r="H169" s="3" t="s">
        <v>1169</v>
      </c>
      <c r="I169" s="3" t="s">
        <v>236</v>
      </c>
      <c r="J169" s="3" t="s">
        <v>61</v>
      </c>
      <c r="K169" s="3"/>
      <c r="L169" s="3"/>
      <c r="M169" s="3"/>
      <c r="N169" s="3"/>
      <c r="O169" s="3"/>
      <c r="P169" s="3"/>
      <c r="Q169" s="3"/>
      <c r="R169" s="3"/>
      <c r="S169" s="3"/>
    </row>
    <row r="170" spans="1:19" ht="39" x14ac:dyDescent="0.25">
      <c r="A170" s="1">
        <v>40836</v>
      </c>
      <c r="B170" s="1">
        <v>40839</v>
      </c>
      <c r="C170" s="2">
        <f t="shared" si="2"/>
        <v>4</v>
      </c>
      <c r="D170" s="6" t="s">
        <v>1375</v>
      </c>
      <c r="E170" s="3" t="s">
        <v>1376</v>
      </c>
      <c r="F170" s="4" t="s">
        <v>58</v>
      </c>
      <c r="G170" s="3" t="s">
        <v>1377</v>
      </c>
      <c r="H170" s="3"/>
      <c r="I170" s="3" t="s">
        <v>71</v>
      </c>
      <c r="J170" s="3" t="s">
        <v>61</v>
      </c>
      <c r="K170" s="3"/>
      <c r="L170" s="3"/>
      <c r="M170" s="3"/>
      <c r="N170" s="3"/>
      <c r="O170" s="3"/>
      <c r="P170" s="3"/>
      <c r="Q170" s="3"/>
      <c r="R170" s="3"/>
      <c r="S170" s="3"/>
    </row>
    <row r="171" spans="1:19" ht="26.25" x14ac:dyDescent="0.25">
      <c r="A171" s="1">
        <v>40843</v>
      </c>
      <c r="B171" s="1">
        <v>40846</v>
      </c>
      <c r="C171" s="2">
        <f t="shared" si="2"/>
        <v>4</v>
      </c>
      <c r="D171" s="6" t="s">
        <v>1523</v>
      </c>
      <c r="E171" s="3" t="s">
        <v>1524</v>
      </c>
      <c r="F171" s="4" t="s">
        <v>58</v>
      </c>
      <c r="G171" s="3" t="s">
        <v>1525</v>
      </c>
      <c r="H171" s="3"/>
      <c r="I171" s="3" t="s">
        <v>85</v>
      </c>
      <c r="J171" s="3" t="s">
        <v>61</v>
      </c>
      <c r="K171" s="3"/>
      <c r="L171" s="3"/>
      <c r="M171" s="3"/>
      <c r="N171" s="3"/>
      <c r="O171" s="3"/>
      <c r="P171" s="3"/>
      <c r="Q171" s="3"/>
      <c r="R171" s="3"/>
      <c r="S171" s="3"/>
    </row>
    <row r="172" spans="1:19" ht="26.25" x14ac:dyDescent="0.25">
      <c r="A172" s="1">
        <v>40844</v>
      </c>
      <c r="B172" s="1">
        <v>40847</v>
      </c>
      <c r="C172" s="2">
        <f t="shared" si="2"/>
        <v>4</v>
      </c>
      <c r="D172" s="6" t="s">
        <v>1579</v>
      </c>
      <c r="E172" s="3" t="s">
        <v>1580</v>
      </c>
      <c r="F172" s="4" t="s">
        <v>58</v>
      </c>
      <c r="G172" s="3" t="s">
        <v>1581</v>
      </c>
      <c r="H172" s="3" t="s">
        <v>1582</v>
      </c>
      <c r="I172" s="3" t="s">
        <v>105</v>
      </c>
      <c r="J172" s="3" t="s">
        <v>61</v>
      </c>
      <c r="K172" s="3"/>
      <c r="L172" s="3"/>
      <c r="M172" s="3"/>
      <c r="N172" s="3"/>
      <c r="O172" s="3"/>
      <c r="P172" s="3"/>
      <c r="Q172" s="3"/>
      <c r="R172" s="3"/>
      <c r="S172" s="3"/>
    </row>
    <row r="173" spans="1:19" ht="39" x14ac:dyDescent="0.25">
      <c r="A173" s="1">
        <v>40850</v>
      </c>
      <c r="B173" s="1">
        <v>40853</v>
      </c>
      <c r="C173" s="2">
        <f t="shared" si="2"/>
        <v>4</v>
      </c>
      <c r="D173" s="6" t="s">
        <v>1690</v>
      </c>
      <c r="E173" s="3" t="s">
        <v>1691</v>
      </c>
      <c r="F173" s="4" t="s">
        <v>58</v>
      </c>
      <c r="G173" s="3" t="s">
        <v>1692</v>
      </c>
      <c r="H173" s="3" t="s">
        <v>1693</v>
      </c>
      <c r="I173" s="3" t="s">
        <v>227</v>
      </c>
      <c r="J173" s="3" t="s">
        <v>61</v>
      </c>
      <c r="K173" s="3"/>
      <c r="L173" s="3"/>
      <c r="M173" s="3"/>
      <c r="N173" s="3"/>
      <c r="O173" s="3"/>
      <c r="P173" s="3"/>
      <c r="Q173" s="3"/>
      <c r="R173" s="3"/>
      <c r="S173" s="3"/>
    </row>
    <row r="174" spans="1:19" ht="39" x14ac:dyDescent="0.25">
      <c r="A174" s="1">
        <v>40864</v>
      </c>
      <c r="B174" s="1">
        <v>40867</v>
      </c>
      <c r="C174" s="2">
        <f t="shared" si="2"/>
        <v>4</v>
      </c>
      <c r="D174" s="6" t="s">
        <v>1976</v>
      </c>
      <c r="E174" s="3" t="s">
        <v>1977</v>
      </c>
      <c r="F174" s="4" t="s">
        <v>58</v>
      </c>
      <c r="G174" s="3" t="s">
        <v>428</v>
      </c>
      <c r="H174" s="3" t="s">
        <v>429</v>
      </c>
      <c r="I174" s="3" t="s">
        <v>85</v>
      </c>
      <c r="J174" s="3" t="s">
        <v>61</v>
      </c>
      <c r="K174" s="3"/>
      <c r="L174" s="3"/>
      <c r="M174" s="3"/>
      <c r="N174" s="3"/>
      <c r="O174" s="3"/>
      <c r="P174" s="3"/>
      <c r="Q174" s="3"/>
      <c r="R174" s="3"/>
      <c r="S174" s="3"/>
    </row>
    <row r="175" spans="1:19" ht="39" x14ac:dyDescent="0.25">
      <c r="A175" s="1">
        <v>40875</v>
      </c>
      <c r="B175" s="1">
        <v>40878</v>
      </c>
      <c r="C175" s="2">
        <f t="shared" si="2"/>
        <v>4</v>
      </c>
      <c r="D175" s="6" t="s">
        <v>2228</v>
      </c>
      <c r="E175" s="3" t="s">
        <v>2229</v>
      </c>
      <c r="F175" s="4" t="s">
        <v>58</v>
      </c>
      <c r="G175" s="3" t="s">
        <v>1207</v>
      </c>
      <c r="H175" s="3" t="s">
        <v>2230</v>
      </c>
      <c r="I175" s="3" t="s">
        <v>105</v>
      </c>
      <c r="J175" s="3" t="s">
        <v>61</v>
      </c>
      <c r="K175" s="3"/>
      <c r="L175" s="3"/>
      <c r="M175" s="3"/>
      <c r="N175" s="3"/>
      <c r="O175" s="3"/>
      <c r="P175" s="3"/>
      <c r="Q175" s="3"/>
      <c r="R175" s="3"/>
      <c r="S175" s="3"/>
    </row>
    <row r="176" spans="1:19" ht="39" x14ac:dyDescent="0.25">
      <c r="A176" s="1">
        <v>40875</v>
      </c>
      <c r="B176" s="1">
        <v>40878</v>
      </c>
      <c r="C176" s="2">
        <f t="shared" si="2"/>
        <v>4</v>
      </c>
      <c r="D176" s="6" t="s">
        <v>2216</v>
      </c>
      <c r="E176" s="3" t="s">
        <v>2232</v>
      </c>
      <c r="F176" s="4" t="s">
        <v>58</v>
      </c>
      <c r="G176" s="3" t="s">
        <v>2230</v>
      </c>
      <c r="H176" s="3" t="s">
        <v>1207</v>
      </c>
      <c r="I176" s="3" t="s">
        <v>105</v>
      </c>
      <c r="J176" s="3" t="s">
        <v>61</v>
      </c>
      <c r="K176" s="3"/>
      <c r="L176" s="3"/>
      <c r="M176" s="3"/>
      <c r="N176" s="3"/>
      <c r="O176" s="3"/>
      <c r="P176" s="3"/>
      <c r="Q176" s="3"/>
      <c r="R176" s="3"/>
      <c r="S176" s="3"/>
    </row>
    <row r="177" spans="1:19" x14ac:dyDescent="0.25">
      <c r="A177" s="1">
        <v>40878</v>
      </c>
      <c r="B177" s="1">
        <v>40881</v>
      </c>
      <c r="C177" s="2">
        <f t="shared" si="2"/>
        <v>4</v>
      </c>
      <c r="D177" s="6" t="s">
        <v>2216</v>
      </c>
      <c r="E177" s="3" t="s">
        <v>2216</v>
      </c>
      <c r="F177" s="4" t="s">
        <v>58</v>
      </c>
      <c r="G177" s="3" t="s">
        <v>1105</v>
      </c>
      <c r="H177" s="3" t="s">
        <v>2254</v>
      </c>
      <c r="I177" s="3" t="s">
        <v>60</v>
      </c>
      <c r="J177" s="3" t="s">
        <v>61</v>
      </c>
      <c r="K177" s="3"/>
      <c r="L177" s="3"/>
      <c r="M177" s="3"/>
      <c r="N177" s="3"/>
      <c r="O177" s="3"/>
      <c r="P177" s="3"/>
      <c r="Q177" s="3"/>
      <c r="R177" s="3"/>
      <c r="S177" s="3"/>
    </row>
    <row r="178" spans="1:19" ht="26.25" x14ac:dyDescent="0.25">
      <c r="A178" s="1">
        <v>40879</v>
      </c>
      <c r="B178" s="1">
        <v>40882</v>
      </c>
      <c r="C178" s="2">
        <f t="shared" si="2"/>
        <v>4</v>
      </c>
      <c r="D178" s="6" t="s">
        <v>2308</v>
      </c>
      <c r="E178" s="3" t="s">
        <v>2309</v>
      </c>
      <c r="F178" s="4" t="s">
        <v>58</v>
      </c>
      <c r="G178" s="3" t="s">
        <v>2310</v>
      </c>
      <c r="H178" s="3" t="s">
        <v>140</v>
      </c>
      <c r="I178" s="3" t="s">
        <v>105</v>
      </c>
      <c r="J178" s="3" t="s">
        <v>61</v>
      </c>
      <c r="K178" s="3"/>
      <c r="L178" s="3"/>
      <c r="M178" s="3"/>
      <c r="N178" s="3"/>
      <c r="O178" s="3"/>
      <c r="P178" s="3"/>
      <c r="Q178" s="3"/>
      <c r="R178" s="3"/>
      <c r="S178" s="3"/>
    </row>
    <row r="179" spans="1:19" ht="39" x14ac:dyDescent="0.25">
      <c r="A179" s="1">
        <v>40927</v>
      </c>
      <c r="B179" s="1">
        <v>40930</v>
      </c>
      <c r="C179" s="2">
        <f t="shared" si="2"/>
        <v>4</v>
      </c>
      <c r="D179" s="6" t="s">
        <v>2714</v>
      </c>
      <c r="E179" s="3" t="s">
        <v>2715</v>
      </c>
      <c r="F179" s="5" t="s">
        <v>58</v>
      </c>
      <c r="G179" s="3" t="s">
        <v>428</v>
      </c>
      <c r="H179" s="3" t="s">
        <v>429</v>
      </c>
      <c r="I179" s="3" t="s">
        <v>85</v>
      </c>
      <c r="J179" s="3" t="s">
        <v>61</v>
      </c>
      <c r="K179" s="3"/>
      <c r="L179" s="3"/>
      <c r="M179" s="3"/>
      <c r="N179" s="3"/>
      <c r="O179" s="3"/>
      <c r="P179" s="3"/>
      <c r="Q179" s="3"/>
      <c r="R179" s="3"/>
      <c r="S179" s="3"/>
    </row>
    <row r="180" spans="1:19" ht="39" x14ac:dyDescent="0.25">
      <c r="A180" s="1">
        <v>40955</v>
      </c>
      <c r="B180" s="1">
        <v>40958</v>
      </c>
      <c r="C180" s="2">
        <f t="shared" si="2"/>
        <v>4</v>
      </c>
      <c r="D180" s="6" t="s">
        <v>2849</v>
      </c>
      <c r="E180" s="3" t="s">
        <v>2850</v>
      </c>
      <c r="F180" s="4" t="s">
        <v>58</v>
      </c>
      <c r="G180" s="3" t="s">
        <v>428</v>
      </c>
      <c r="H180" s="3" t="s">
        <v>429</v>
      </c>
      <c r="I180" s="3" t="s">
        <v>85</v>
      </c>
      <c r="J180" s="3" t="s">
        <v>61</v>
      </c>
      <c r="K180" s="3"/>
      <c r="L180" s="3"/>
      <c r="M180" s="3"/>
      <c r="N180" s="3"/>
      <c r="O180" s="3"/>
      <c r="P180" s="3"/>
      <c r="Q180" s="3"/>
      <c r="R180" s="3"/>
      <c r="S180" s="3"/>
    </row>
    <row r="181" spans="1:19" ht="39" x14ac:dyDescent="0.25">
      <c r="A181" s="1">
        <v>40975</v>
      </c>
      <c r="B181" s="1">
        <v>40978</v>
      </c>
      <c r="C181" s="2">
        <f t="shared" si="2"/>
        <v>4</v>
      </c>
      <c r="D181" s="6" t="s">
        <v>2937</v>
      </c>
      <c r="E181" s="3" t="s">
        <v>2938</v>
      </c>
      <c r="F181" s="4" t="s">
        <v>58</v>
      </c>
      <c r="G181" s="3" t="s">
        <v>2939</v>
      </c>
      <c r="H181" s="3" t="s">
        <v>2940</v>
      </c>
      <c r="I181" s="3" t="s">
        <v>85</v>
      </c>
      <c r="J181" s="3" t="s">
        <v>61</v>
      </c>
      <c r="K181" s="3"/>
      <c r="L181" s="3"/>
      <c r="M181" s="3"/>
      <c r="N181" s="3"/>
      <c r="O181" s="3"/>
      <c r="P181" s="3"/>
      <c r="Q181" s="3"/>
      <c r="R181" s="3"/>
      <c r="S181" s="3"/>
    </row>
    <row r="182" spans="1:19" ht="51.75" x14ac:dyDescent="0.25">
      <c r="A182" s="1">
        <v>40975</v>
      </c>
      <c r="B182" s="1">
        <v>40978</v>
      </c>
      <c r="C182" s="2">
        <f t="shared" si="2"/>
        <v>4</v>
      </c>
      <c r="D182" s="6" t="s">
        <v>2944</v>
      </c>
      <c r="E182" s="3" t="s">
        <v>2945</v>
      </c>
      <c r="F182" s="4" t="s">
        <v>58</v>
      </c>
      <c r="G182" s="3" t="s">
        <v>1178</v>
      </c>
      <c r="H182" s="3" t="s">
        <v>2726</v>
      </c>
      <c r="I182" s="3" t="s">
        <v>865</v>
      </c>
      <c r="J182" s="3" t="s">
        <v>61</v>
      </c>
      <c r="K182" s="3"/>
      <c r="L182" s="3"/>
      <c r="M182" s="3"/>
      <c r="N182" s="3"/>
      <c r="O182" s="3"/>
      <c r="P182" s="3"/>
      <c r="Q182" s="3"/>
      <c r="R182" s="3"/>
      <c r="S182" s="3"/>
    </row>
    <row r="183" spans="1:19" ht="39" x14ac:dyDescent="0.25">
      <c r="A183" s="1">
        <v>41018</v>
      </c>
      <c r="B183" s="1">
        <v>41021</v>
      </c>
      <c r="C183" s="2">
        <f t="shared" si="2"/>
        <v>4</v>
      </c>
      <c r="D183" s="6" t="s">
        <v>3076</v>
      </c>
      <c r="E183" s="3" t="s">
        <v>3077</v>
      </c>
      <c r="F183" s="4" t="s">
        <v>58</v>
      </c>
      <c r="G183" s="3" t="s">
        <v>428</v>
      </c>
      <c r="H183" s="3" t="s">
        <v>429</v>
      </c>
      <c r="I183" s="3" t="s">
        <v>85</v>
      </c>
      <c r="J183" s="3" t="s">
        <v>61</v>
      </c>
      <c r="K183" s="3"/>
      <c r="L183" s="3"/>
      <c r="M183" s="3"/>
      <c r="N183" s="3"/>
      <c r="O183" s="3"/>
      <c r="P183" s="3"/>
      <c r="Q183" s="3"/>
      <c r="R183" s="3"/>
      <c r="S183" s="3"/>
    </row>
    <row r="184" spans="1:19" ht="51.75" x14ac:dyDescent="0.25">
      <c r="A184" s="1">
        <v>41067</v>
      </c>
      <c r="B184" s="1">
        <v>41070</v>
      </c>
      <c r="C184" s="2">
        <f t="shared" si="2"/>
        <v>4</v>
      </c>
      <c r="D184" s="6" t="s">
        <v>3385</v>
      </c>
      <c r="E184" s="3" t="s">
        <v>3386</v>
      </c>
      <c r="F184" s="4" t="s">
        <v>58</v>
      </c>
      <c r="G184" s="3" t="s">
        <v>428</v>
      </c>
      <c r="H184" s="3" t="s">
        <v>429</v>
      </c>
      <c r="I184" s="3" t="s">
        <v>85</v>
      </c>
      <c r="J184" s="3" t="s">
        <v>61</v>
      </c>
      <c r="K184" s="3"/>
      <c r="L184" s="3"/>
      <c r="M184" s="3"/>
      <c r="N184" s="3"/>
      <c r="O184" s="3"/>
      <c r="P184" s="3"/>
      <c r="Q184" s="3"/>
      <c r="R184" s="3"/>
      <c r="S184" s="3"/>
    </row>
    <row r="185" spans="1:19" ht="51.75" x14ac:dyDescent="0.25">
      <c r="A185" s="1">
        <v>40816</v>
      </c>
      <c r="B185" s="1">
        <v>40818</v>
      </c>
      <c r="C185" s="2">
        <f t="shared" si="2"/>
        <v>3</v>
      </c>
      <c r="D185" s="6" t="s">
        <v>460</v>
      </c>
      <c r="E185" s="3" t="s">
        <v>461</v>
      </c>
      <c r="F185" s="4" t="s">
        <v>58</v>
      </c>
      <c r="G185" s="3" t="s">
        <v>462</v>
      </c>
      <c r="H185" s="3" t="s">
        <v>463</v>
      </c>
      <c r="I185" s="3" t="s">
        <v>464</v>
      </c>
      <c r="J185" s="3" t="s">
        <v>61</v>
      </c>
      <c r="K185" s="3"/>
      <c r="L185" s="3"/>
      <c r="M185" s="3"/>
      <c r="N185" s="3"/>
      <c r="O185" s="3"/>
      <c r="P185" s="3"/>
      <c r="Q185" s="3"/>
      <c r="R185" s="3"/>
      <c r="S185" s="3"/>
    </row>
    <row r="186" spans="1:19" ht="39" x14ac:dyDescent="0.25">
      <c r="A186" s="1">
        <v>40816</v>
      </c>
      <c r="B186" s="1">
        <v>40818</v>
      </c>
      <c r="C186" s="2">
        <f t="shared" si="2"/>
        <v>3</v>
      </c>
      <c r="D186" s="6" t="s">
        <v>460</v>
      </c>
      <c r="E186" s="3" t="s">
        <v>467</v>
      </c>
      <c r="F186" s="4" t="s">
        <v>58</v>
      </c>
      <c r="G186" s="3" t="s">
        <v>468</v>
      </c>
      <c r="H186" s="3"/>
      <c r="I186" s="3" t="s">
        <v>245</v>
      </c>
      <c r="J186" s="3" t="s">
        <v>61</v>
      </c>
      <c r="K186" s="3"/>
      <c r="L186" s="3"/>
      <c r="M186" s="3"/>
      <c r="N186" s="3"/>
      <c r="O186" s="3"/>
      <c r="P186" s="3"/>
      <c r="Q186" s="3"/>
      <c r="R186" s="3"/>
      <c r="S186" s="3"/>
    </row>
    <row r="187" spans="1:19" ht="51.75" x14ac:dyDescent="0.25">
      <c r="A187" s="1">
        <v>40816</v>
      </c>
      <c r="B187" s="1">
        <v>40818</v>
      </c>
      <c r="C187" s="2">
        <f t="shared" si="2"/>
        <v>3</v>
      </c>
      <c r="D187" s="6" t="s">
        <v>471</v>
      </c>
      <c r="E187" s="3" t="s">
        <v>472</v>
      </c>
      <c r="F187" s="4" t="s">
        <v>58</v>
      </c>
      <c r="G187" s="3" t="s">
        <v>473</v>
      </c>
      <c r="H187" s="3"/>
      <c r="I187" s="3" t="s">
        <v>193</v>
      </c>
      <c r="J187" s="3" t="s">
        <v>61</v>
      </c>
      <c r="K187" s="3"/>
      <c r="L187" s="3"/>
      <c r="M187" s="3"/>
      <c r="N187" s="3"/>
      <c r="O187" s="3"/>
      <c r="P187" s="3"/>
      <c r="Q187" s="3"/>
      <c r="R187" s="3"/>
      <c r="S187" s="3"/>
    </row>
    <row r="188" spans="1:19" ht="39" x14ac:dyDescent="0.25">
      <c r="A188" s="1">
        <v>40816</v>
      </c>
      <c r="B188" s="1">
        <v>40818</v>
      </c>
      <c r="C188" s="2">
        <f t="shared" si="2"/>
        <v>3</v>
      </c>
      <c r="D188" s="6" t="s">
        <v>477</v>
      </c>
      <c r="E188" s="3" t="s">
        <v>478</v>
      </c>
      <c r="F188" s="4" t="s">
        <v>58</v>
      </c>
      <c r="G188" s="3" t="s">
        <v>479</v>
      </c>
      <c r="H188" s="3" t="s">
        <v>480</v>
      </c>
      <c r="I188" s="3" t="s">
        <v>245</v>
      </c>
      <c r="J188" s="3" t="s">
        <v>61</v>
      </c>
      <c r="K188" s="3"/>
      <c r="L188" s="3"/>
      <c r="M188" s="3"/>
      <c r="N188" s="3"/>
      <c r="O188" s="3"/>
      <c r="P188" s="3"/>
      <c r="Q188" s="3"/>
      <c r="R188" s="3"/>
      <c r="S188" s="3"/>
    </row>
    <row r="189" spans="1:19" ht="39" x14ac:dyDescent="0.25">
      <c r="A189" s="1">
        <v>40827</v>
      </c>
      <c r="B189" s="1">
        <v>40829</v>
      </c>
      <c r="C189" s="2">
        <f t="shared" si="2"/>
        <v>3</v>
      </c>
      <c r="D189" s="6" t="s">
        <v>1149</v>
      </c>
      <c r="E189" s="3" t="s">
        <v>1150</v>
      </c>
      <c r="F189" s="4" t="s">
        <v>58</v>
      </c>
      <c r="G189" s="3" t="s">
        <v>1151</v>
      </c>
      <c r="H189" s="3" t="s">
        <v>1152</v>
      </c>
      <c r="I189" s="3" t="s">
        <v>179</v>
      </c>
      <c r="J189" s="3" t="s">
        <v>61</v>
      </c>
      <c r="K189" s="3"/>
      <c r="L189" s="3"/>
      <c r="M189" s="3"/>
      <c r="N189" s="3"/>
      <c r="O189" s="3"/>
      <c r="P189" s="3"/>
      <c r="Q189" s="3"/>
      <c r="R189" s="3"/>
      <c r="S189" s="3"/>
    </row>
    <row r="190" spans="1:19" ht="39" x14ac:dyDescent="0.25">
      <c r="A190" s="1">
        <v>40829</v>
      </c>
      <c r="B190" s="1">
        <v>40831</v>
      </c>
      <c r="C190" s="2">
        <f t="shared" si="2"/>
        <v>3</v>
      </c>
      <c r="D190" s="6" t="s">
        <v>1183</v>
      </c>
      <c r="E190" s="3" t="s">
        <v>1184</v>
      </c>
      <c r="F190" s="4" t="s">
        <v>58</v>
      </c>
      <c r="G190" s="3" t="s">
        <v>1185</v>
      </c>
      <c r="H190" s="3" t="s">
        <v>1186</v>
      </c>
      <c r="I190" s="3" t="s">
        <v>1187</v>
      </c>
      <c r="J190" s="3" t="s">
        <v>61</v>
      </c>
      <c r="K190" s="3"/>
      <c r="L190" s="3"/>
      <c r="M190" s="3"/>
      <c r="N190" s="3"/>
      <c r="O190" s="3"/>
      <c r="P190" s="3"/>
      <c r="Q190" s="3"/>
      <c r="R190" s="3"/>
      <c r="S190" s="3"/>
    </row>
    <row r="191" spans="1:19" ht="51.75" x14ac:dyDescent="0.25">
      <c r="A191" s="1">
        <v>40830</v>
      </c>
      <c r="B191" s="1">
        <v>40832</v>
      </c>
      <c r="C191" s="2">
        <f t="shared" si="2"/>
        <v>3</v>
      </c>
      <c r="D191" s="6" t="s">
        <v>1222</v>
      </c>
      <c r="E191" s="3" t="s">
        <v>1223</v>
      </c>
      <c r="F191" s="4" t="s">
        <v>58</v>
      </c>
      <c r="G191" s="3" t="s">
        <v>1224</v>
      </c>
      <c r="H191" s="3"/>
      <c r="I191" s="3" t="s">
        <v>1225</v>
      </c>
      <c r="J191" s="3" t="s">
        <v>61</v>
      </c>
      <c r="K191" s="3"/>
      <c r="L191" s="3"/>
      <c r="M191" s="3"/>
      <c r="N191" s="3"/>
      <c r="O191" s="3"/>
      <c r="P191" s="3"/>
      <c r="Q191" s="3"/>
      <c r="R191" s="3"/>
      <c r="S191" s="3"/>
    </row>
    <row r="192" spans="1:19" ht="26.25" x14ac:dyDescent="0.25">
      <c r="A192" s="1">
        <v>40841</v>
      </c>
      <c r="B192" s="1">
        <v>40843</v>
      </c>
      <c r="C192" s="2">
        <f t="shared" si="2"/>
        <v>3</v>
      </c>
      <c r="D192" s="6" t="s">
        <v>1489</v>
      </c>
      <c r="E192" s="3" t="s">
        <v>1490</v>
      </c>
      <c r="F192" s="4" t="s">
        <v>58</v>
      </c>
      <c r="G192" s="3" t="s">
        <v>1491</v>
      </c>
      <c r="H192" s="3" t="s">
        <v>1492</v>
      </c>
      <c r="I192" s="3" t="s">
        <v>179</v>
      </c>
      <c r="J192" s="3" t="s">
        <v>61</v>
      </c>
      <c r="K192" s="3"/>
      <c r="L192" s="3"/>
      <c r="M192" s="3"/>
      <c r="N192" s="3"/>
      <c r="O192" s="3"/>
      <c r="P192" s="3"/>
      <c r="Q192" s="3"/>
      <c r="R192" s="3"/>
      <c r="S192" s="3"/>
    </row>
    <row r="193" spans="1:19" ht="39" x14ac:dyDescent="0.25">
      <c r="A193" s="1">
        <v>40851</v>
      </c>
      <c r="B193" s="1">
        <v>40853</v>
      </c>
      <c r="C193" s="2">
        <f t="shared" ref="C193:C256" si="3">(B193-A193)+1</f>
        <v>3</v>
      </c>
      <c r="D193" s="6" t="s">
        <v>1705</v>
      </c>
      <c r="E193" s="3" t="s">
        <v>1706</v>
      </c>
      <c r="F193" s="4" t="s">
        <v>58</v>
      </c>
      <c r="G193" s="3" t="s">
        <v>1707</v>
      </c>
      <c r="H193" s="3"/>
      <c r="I193" s="3" t="s">
        <v>865</v>
      </c>
      <c r="J193" s="3" t="s">
        <v>61</v>
      </c>
      <c r="K193" s="3"/>
      <c r="L193" s="3"/>
      <c r="M193" s="3"/>
      <c r="N193" s="3"/>
      <c r="O193" s="3"/>
      <c r="P193" s="3"/>
      <c r="Q193" s="3"/>
      <c r="R193" s="3"/>
      <c r="S193" s="3"/>
    </row>
    <row r="194" spans="1:19" ht="39" x14ac:dyDescent="0.25">
      <c r="A194" s="1">
        <v>40857</v>
      </c>
      <c r="B194" s="1">
        <v>40859</v>
      </c>
      <c r="C194" s="2">
        <f t="shared" si="3"/>
        <v>3</v>
      </c>
      <c r="D194" s="6" t="s">
        <v>1869</v>
      </c>
      <c r="E194" s="3" t="s">
        <v>1870</v>
      </c>
      <c r="F194" s="4" t="s">
        <v>58</v>
      </c>
      <c r="G194" s="3" t="s">
        <v>1127</v>
      </c>
      <c r="H194" s="3"/>
      <c r="I194" s="3" t="s">
        <v>303</v>
      </c>
      <c r="J194" s="3" t="s">
        <v>61</v>
      </c>
      <c r="K194" s="3"/>
      <c r="L194" s="3"/>
      <c r="M194" s="3"/>
      <c r="N194" s="3"/>
      <c r="O194" s="3"/>
      <c r="P194" s="3"/>
      <c r="Q194" s="3"/>
      <c r="R194" s="3"/>
      <c r="S194" s="3"/>
    </row>
    <row r="195" spans="1:19" ht="51.75" x14ac:dyDescent="0.25">
      <c r="A195" s="1">
        <v>40858</v>
      </c>
      <c r="B195" s="1">
        <v>40860</v>
      </c>
      <c r="C195" s="2">
        <f t="shared" si="3"/>
        <v>3</v>
      </c>
      <c r="D195" s="6" t="s">
        <v>1749</v>
      </c>
      <c r="E195" s="3" t="s">
        <v>1912</v>
      </c>
      <c r="F195" s="4" t="s">
        <v>58</v>
      </c>
      <c r="G195" s="3" t="s">
        <v>1913</v>
      </c>
      <c r="H195" s="3"/>
      <c r="I195" s="3" t="s">
        <v>1914</v>
      </c>
      <c r="J195" s="3" t="s">
        <v>61</v>
      </c>
      <c r="K195" s="3"/>
      <c r="L195" s="3"/>
      <c r="M195" s="3"/>
      <c r="N195" s="3"/>
      <c r="O195" s="3"/>
      <c r="P195" s="3"/>
      <c r="Q195" s="3"/>
      <c r="R195" s="3"/>
      <c r="S195" s="3"/>
    </row>
    <row r="196" spans="1:19" ht="26.25" x14ac:dyDescent="0.25">
      <c r="A196" s="1">
        <v>40865</v>
      </c>
      <c r="B196" s="1">
        <v>40867</v>
      </c>
      <c r="C196" s="2">
        <f t="shared" si="3"/>
        <v>3</v>
      </c>
      <c r="D196" s="6" t="s">
        <v>1981</v>
      </c>
      <c r="E196" s="3" t="s">
        <v>1982</v>
      </c>
      <c r="F196" s="4" t="s">
        <v>58</v>
      </c>
      <c r="G196" s="3" t="s">
        <v>1151</v>
      </c>
      <c r="H196" s="3" t="s">
        <v>1152</v>
      </c>
      <c r="I196" s="3" t="s">
        <v>179</v>
      </c>
      <c r="J196" s="3" t="s">
        <v>61</v>
      </c>
      <c r="K196" s="3"/>
      <c r="L196" s="3"/>
      <c r="M196" s="3"/>
      <c r="N196" s="3"/>
      <c r="O196" s="3"/>
      <c r="P196" s="3"/>
      <c r="Q196" s="3"/>
      <c r="R196" s="3"/>
      <c r="S196" s="3"/>
    </row>
    <row r="197" spans="1:19" ht="39" x14ac:dyDescent="0.25">
      <c r="A197" s="1">
        <v>40878</v>
      </c>
      <c r="B197" s="1">
        <v>40880</v>
      </c>
      <c r="C197" s="2">
        <f t="shared" si="3"/>
        <v>3</v>
      </c>
      <c r="D197" s="6" t="s">
        <v>2251</v>
      </c>
      <c r="E197" s="3" t="s">
        <v>2252</v>
      </c>
      <c r="F197" s="4" t="s">
        <v>58</v>
      </c>
      <c r="G197" s="3" t="s">
        <v>1609</v>
      </c>
      <c r="H197" s="3" t="s">
        <v>2253</v>
      </c>
      <c r="I197" s="3" t="s">
        <v>60</v>
      </c>
      <c r="J197" s="3" t="s">
        <v>61</v>
      </c>
      <c r="K197" s="3"/>
      <c r="L197" s="3"/>
      <c r="M197" s="3"/>
      <c r="N197" s="3"/>
      <c r="O197" s="3"/>
      <c r="P197" s="3"/>
      <c r="Q197" s="3"/>
      <c r="R197" s="3"/>
      <c r="S197" s="3"/>
    </row>
    <row r="198" spans="1:19" ht="39" x14ac:dyDescent="0.25">
      <c r="A198" s="1">
        <v>40879</v>
      </c>
      <c r="B198" s="1">
        <v>40881</v>
      </c>
      <c r="C198" s="2">
        <f t="shared" si="3"/>
        <v>3</v>
      </c>
      <c r="D198" s="6" t="s">
        <v>2299</v>
      </c>
      <c r="E198" s="3" t="s">
        <v>2300</v>
      </c>
      <c r="F198" s="4" t="s">
        <v>58</v>
      </c>
      <c r="G198" s="3" t="s">
        <v>2301</v>
      </c>
      <c r="H198" s="3"/>
      <c r="I198" s="3" t="s">
        <v>77</v>
      </c>
      <c r="J198" s="3" t="s">
        <v>61</v>
      </c>
      <c r="K198" s="3"/>
      <c r="L198" s="3"/>
      <c r="M198" s="3"/>
      <c r="N198" s="3"/>
      <c r="O198" s="3"/>
      <c r="P198" s="3"/>
      <c r="Q198" s="3"/>
      <c r="R198" s="3"/>
      <c r="S198" s="3"/>
    </row>
    <row r="199" spans="1:19" ht="39" x14ac:dyDescent="0.25">
      <c r="A199" s="1">
        <v>40879</v>
      </c>
      <c r="B199" s="1">
        <v>40881</v>
      </c>
      <c r="C199" s="2">
        <f t="shared" si="3"/>
        <v>3</v>
      </c>
      <c r="D199" s="6" t="s">
        <v>2304</v>
      </c>
      <c r="E199" s="3" t="s">
        <v>2305</v>
      </c>
      <c r="F199" s="4" t="s">
        <v>58</v>
      </c>
      <c r="G199" s="3" t="s">
        <v>2306</v>
      </c>
      <c r="H199" s="3" t="s">
        <v>2307</v>
      </c>
      <c r="I199" s="3" t="s">
        <v>236</v>
      </c>
      <c r="J199" s="3" t="s">
        <v>61</v>
      </c>
      <c r="K199" s="3"/>
      <c r="L199" s="3"/>
      <c r="M199" s="3"/>
      <c r="N199" s="3"/>
      <c r="O199" s="3"/>
      <c r="P199" s="3"/>
      <c r="Q199" s="3"/>
      <c r="R199" s="3"/>
      <c r="S199" s="3"/>
    </row>
    <row r="200" spans="1:19" ht="51.75" x14ac:dyDescent="0.25">
      <c r="A200" s="1">
        <v>40886</v>
      </c>
      <c r="B200" s="1">
        <v>40888</v>
      </c>
      <c r="C200" s="2">
        <f t="shared" si="3"/>
        <v>3</v>
      </c>
      <c r="D200" s="6" t="s">
        <v>2563</v>
      </c>
      <c r="E200" s="3" t="s">
        <v>2564</v>
      </c>
      <c r="F200" s="4" t="s">
        <v>58</v>
      </c>
      <c r="G200" s="3" t="s">
        <v>1857</v>
      </c>
      <c r="H200" s="3"/>
      <c r="I200" s="3" t="s">
        <v>85</v>
      </c>
      <c r="J200" s="3" t="s">
        <v>61</v>
      </c>
      <c r="K200" s="3"/>
      <c r="L200" s="3"/>
      <c r="M200" s="3"/>
      <c r="N200" s="3"/>
      <c r="O200" s="3"/>
      <c r="P200" s="3"/>
      <c r="Q200" s="3"/>
      <c r="R200" s="3"/>
      <c r="S200" s="3"/>
    </row>
    <row r="201" spans="1:19" ht="26.25" x14ac:dyDescent="0.25">
      <c r="A201" s="1">
        <v>40886</v>
      </c>
      <c r="B201" s="1">
        <v>40888</v>
      </c>
      <c r="C201" s="2">
        <f t="shared" si="3"/>
        <v>3</v>
      </c>
      <c r="D201" s="6" t="s">
        <v>2566</v>
      </c>
      <c r="E201" s="3" t="s">
        <v>2567</v>
      </c>
      <c r="F201" s="4" t="s">
        <v>58</v>
      </c>
      <c r="G201" s="3" t="s">
        <v>837</v>
      </c>
      <c r="H201" s="3"/>
      <c r="I201" s="3" t="s">
        <v>60</v>
      </c>
      <c r="J201" s="3" t="s">
        <v>61</v>
      </c>
      <c r="K201" s="3"/>
      <c r="L201" s="3"/>
      <c r="M201" s="3"/>
      <c r="N201" s="3"/>
      <c r="O201" s="3"/>
      <c r="P201" s="3"/>
      <c r="Q201" s="3"/>
      <c r="R201" s="3"/>
      <c r="S201" s="3"/>
    </row>
    <row r="202" spans="1:19" ht="26.25" x14ac:dyDescent="0.25">
      <c r="A202" s="1">
        <v>40921</v>
      </c>
      <c r="B202" s="1">
        <v>40923</v>
      </c>
      <c r="C202" s="2">
        <f t="shared" si="3"/>
        <v>3</v>
      </c>
      <c r="D202" s="6" t="s">
        <v>2694</v>
      </c>
      <c r="E202" s="3" t="s">
        <v>2694</v>
      </c>
      <c r="F202" s="4" t="s">
        <v>58</v>
      </c>
      <c r="G202" s="3" t="s">
        <v>811</v>
      </c>
      <c r="H202" s="3" t="s">
        <v>810</v>
      </c>
      <c r="I202" s="3" t="s">
        <v>60</v>
      </c>
      <c r="J202" s="3" t="s">
        <v>61</v>
      </c>
      <c r="K202" s="3"/>
      <c r="L202" s="3"/>
      <c r="M202" s="3"/>
      <c r="N202" s="3"/>
      <c r="O202" s="3"/>
      <c r="P202" s="3"/>
      <c r="Q202" s="3"/>
      <c r="R202" s="3"/>
      <c r="S202" s="3"/>
    </row>
    <row r="203" spans="1:19" ht="51.75" x14ac:dyDescent="0.25">
      <c r="A203" s="1">
        <v>40942</v>
      </c>
      <c r="B203" s="1">
        <v>40944</v>
      </c>
      <c r="C203" s="2">
        <f t="shared" si="3"/>
        <v>3</v>
      </c>
      <c r="D203" s="6" t="s">
        <v>2782</v>
      </c>
      <c r="E203" s="3" t="s">
        <v>2783</v>
      </c>
      <c r="F203" s="4" t="s">
        <v>58</v>
      </c>
      <c r="G203" s="3" t="s">
        <v>2784</v>
      </c>
      <c r="H203" s="3" t="s">
        <v>2785</v>
      </c>
      <c r="I203" s="3" t="s">
        <v>865</v>
      </c>
      <c r="J203" s="3" t="s">
        <v>61</v>
      </c>
      <c r="K203" s="3"/>
      <c r="L203" s="3"/>
      <c r="M203" s="3"/>
      <c r="N203" s="3"/>
      <c r="O203" s="3"/>
      <c r="P203" s="3"/>
      <c r="Q203" s="3"/>
      <c r="R203" s="3"/>
      <c r="S203" s="3"/>
    </row>
    <row r="204" spans="1:19" ht="26.25" x14ac:dyDescent="0.25">
      <c r="A204" s="1">
        <v>40949</v>
      </c>
      <c r="B204" s="1">
        <v>40951</v>
      </c>
      <c r="C204" s="2">
        <f t="shared" si="3"/>
        <v>3</v>
      </c>
      <c r="D204" s="6" t="s">
        <v>2811</v>
      </c>
      <c r="E204" s="3" t="s">
        <v>2812</v>
      </c>
      <c r="F204" s="4" t="s">
        <v>58</v>
      </c>
      <c r="G204" s="3" t="s">
        <v>2813</v>
      </c>
      <c r="H204" s="3" t="s">
        <v>2814</v>
      </c>
      <c r="I204" s="3" t="s">
        <v>2815</v>
      </c>
      <c r="J204" s="3" t="s">
        <v>61</v>
      </c>
      <c r="K204" s="3"/>
      <c r="L204" s="3"/>
      <c r="M204" s="3"/>
      <c r="N204" s="3"/>
      <c r="O204" s="3"/>
      <c r="P204" s="3"/>
      <c r="Q204" s="3"/>
      <c r="R204" s="3"/>
      <c r="S204" s="3"/>
    </row>
    <row r="205" spans="1:19" ht="39" x14ac:dyDescent="0.25">
      <c r="A205" s="1">
        <v>40956</v>
      </c>
      <c r="B205" s="1">
        <v>40958</v>
      </c>
      <c r="C205" s="2">
        <f t="shared" si="3"/>
        <v>3</v>
      </c>
      <c r="D205" s="6" t="s">
        <v>2866</v>
      </c>
      <c r="E205" s="3" t="s">
        <v>2867</v>
      </c>
      <c r="F205" s="4" t="s">
        <v>58</v>
      </c>
      <c r="G205" s="3" t="s">
        <v>2868</v>
      </c>
      <c r="H205" s="3" t="s">
        <v>2869</v>
      </c>
      <c r="I205" s="3" t="s">
        <v>963</v>
      </c>
      <c r="J205" s="3" t="s">
        <v>61</v>
      </c>
      <c r="K205" s="3"/>
      <c r="L205" s="3"/>
      <c r="M205" s="3"/>
      <c r="N205" s="3"/>
      <c r="O205" s="3"/>
      <c r="P205" s="3"/>
      <c r="Q205" s="3"/>
      <c r="R205" s="3"/>
      <c r="S205" s="3"/>
    </row>
    <row r="206" spans="1:19" ht="51.75" x14ac:dyDescent="0.25">
      <c r="A206" s="1">
        <v>41010</v>
      </c>
      <c r="B206" s="1">
        <v>41012</v>
      </c>
      <c r="C206" s="2">
        <f t="shared" si="3"/>
        <v>3</v>
      </c>
      <c r="D206" s="6" t="s">
        <v>3047</v>
      </c>
      <c r="E206" s="3" t="s">
        <v>3048</v>
      </c>
      <c r="F206" s="4" t="s">
        <v>58</v>
      </c>
      <c r="G206" s="3" t="s">
        <v>787</v>
      </c>
      <c r="H206" s="3"/>
      <c r="I206" s="3" t="s">
        <v>789</v>
      </c>
      <c r="J206" s="3" t="s">
        <v>61</v>
      </c>
      <c r="K206" s="3"/>
      <c r="L206" s="3"/>
      <c r="M206" s="3"/>
      <c r="N206" s="3"/>
      <c r="O206" s="3"/>
      <c r="P206" s="3"/>
      <c r="Q206" s="3"/>
      <c r="R206" s="3"/>
      <c r="S206" s="3"/>
    </row>
    <row r="207" spans="1:19" ht="26.25" x14ac:dyDescent="0.25">
      <c r="A207" s="1">
        <v>41012</v>
      </c>
      <c r="B207" s="1">
        <v>41014</v>
      </c>
      <c r="C207" s="2">
        <f t="shared" si="3"/>
        <v>3</v>
      </c>
      <c r="D207" s="6" t="s">
        <v>3053</v>
      </c>
      <c r="E207" s="3" t="s">
        <v>3054</v>
      </c>
      <c r="F207" s="5" t="s">
        <v>58</v>
      </c>
      <c r="G207" s="3" t="s">
        <v>1151</v>
      </c>
      <c r="H207" s="3" t="s">
        <v>1152</v>
      </c>
      <c r="I207" s="3" t="s">
        <v>179</v>
      </c>
      <c r="J207" s="3" t="s">
        <v>61</v>
      </c>
      <c r="K207" s="3"/>
      <c r="L207" s="3"/>
      <c r="M207" s="3"/>
      <c r="N207" s="3"/>
      <c r="O207" s="3"/>
      <c r="P207" s="3"/>
      <c r="Q207" s="3"/>
      <c r="R207" s="3"/>
      <c r="S207" s="3"/>
    </row>
    <row r="208" spans="1:19" ht="39" x14ac:dyDescent="0.25">
      <c r="A208" s="1">
        <v>41012</v>
      </c>
      <c r="B208" s="1">
        <v>41014</v>
      </c>
      <c r="C208" s="2">
        <f t="shared" si="3"/>
        <v>3</v>
      </c>
      <c r="D208" s="6" t="s">
        <v>3055</v>
      </c>
      <c r="E208" s="3" t="s">
        <v>3056</v>
      </c>
      <c r="F208" s="4" t="s">
        <v>58</v>
      </c>
      <c r="G208" s="3" t="s">
        <v>2041</v>
      </c>
      <c r="H208" s="3" t="s">
        <v>3057</v>
      </c>
      <c r="I208" s="3" t="s">
        <v>558</v>
      </c>
      <c r="J208" s="3" t="s">
        <v>61</v>
      </c>
      <c r="K208" s="3"/>
      <c r="L208" s="3"/>
      <c r="M208" s="3"/>
      <c r="N208" s="3"/>
      <c r="O208" s="3"/>
      <c r="P208" s="3"/>
      <c r="Q208" s="3"/>
      <c r="R208" s="3"/>
      <c r="S208" s="3"/>
    </row>
    <row r="209" spans="1:19" ht="51.75" x14ac:dyDescent="0.25">
      <c r="A209" s="1">
        <v>41026</v>
      </c>
      <c r="B209" s="1">
        <v>41028</v>
      </c>
      <c r="C209" s="2">
        <f t="shared" si="3"/>
        <v>3</v>
      </c>
      <c r="D209" s="6" t="s">
        <v>3128</v>
      </c>
      <c r="E209" s="3" t="s">
        <v>3129</v>
      </c>
      <c r="F209" s="4" t="s">
        <v>58</v>
      </c>
      <c r="G209" s="3" t="s">
        <v>3130</v>
      </c>
      <c r="H209" s="3" t="s">
        <v>3131</v>
      </c>
      <c r="I209" s="3" t="s">
        <v>865</v>
      </c>
      <c r="J209" s="3" t="s">
        <v>61</v>
      </c>
      <c r="K209" s="3"/>
      <c r="L209" s="3"/>
      <c r="M209" s="3"/>
      <c r="N209" s="3"/>
      <c r="O209" s="3"/>
      <c r="P209" s="3"/>
      <c r="Q209" s="3"/>
      <c r="R209" s="3"/>
      <c r="S209" s="3"/>
    </row>
    <row r="210" spans="1:19" ht="51.75" x14ac:dyDescent="0.25">
      <c r="A210" s="1">
        <v>41033</v>
      </c>
      <c r="B210" s="1">
        <v>41035</v>
      </c>
      <c r="C210" s="2">
        <f t="shared" si="3"/>
        <v>3</v>
      </c>
      <c r="D210" s="6" t="s">
        <v>3205</v>
      </c>
      <c r="E210" s="3" t="s">
        <v>3206</v>
      </c>
      <c r="F210" s="4" t="s">
        <v>58</v>
      </c>
      <c r="G210" s="3" t="s">
        <v>3207</v>
      </c>
      <c r="H210" s="3" t="s">
        <v>3208</v>
      </c>
      <c r="I210" s="3" t="s">
        <v>530</v>
      </c>
      <c r="J210" s="3" t="s">
        <v>61</v>
      </c>
      <c r="K210" s="3"/>
      <c r="L210" s="3"/>
      <c r="M210" s="3"/>
      <c r="N210" s="3"/>
      <c r="O210" s="3"/>
      <c r="P210" s="3"/>
      <c r="Q210" s="3"/>
      <c r="R210" s="3"/>
      <c r="S210" s="3"/>
    </row>
    <row r="211" spans="1:19" ht="64.5" x14ac:dyDescent="0.25">
      <c r="A211" s="1">
        <v>41053</v>
      </c>
      <c r="B211" s="1">
        <v>41055</v>
      </c>
      <c r="C211" s="2">
        <f t="shared" si="3"/>
        <v>3</v>
      </c>
      <c r="D211" s="6" t="s">
        <v>3303</v>
      </c>
      <c r="E211" s="3" t="s">
        <v>3304</v>
      </c>
      <c r="F211" s="4" t="s">
        <v>58</v>
      </c>
      <c r="G211" s="3" t="s">
        <v>3305</v>
      </c>
      <c r="H211" s="3"/>
      <c r="I211" s="3" t="s">
        <v>85</v>
      </c>
      <c r="J211" s="3" t="s">
        <v>61</v>
      </c>
      <c r="K211" s="3"/>
      <c r="L211" s="3"/>
      <c r="M211" s="3"/>
      <c r="N211" s="3"/>
      <c r="O211" s="3"/>
      <c r="P211" s="3"/>
      <c r="Q211" s="3"/>
      <c r="R211" s="3"/>
      <c r="S211" s="3"/>
    </row>
    <row r="212" spans="1:19" ht="51.75" x14ac:dyDescent="0.25">
      <c r="A212" s="1">
        <v>41055</v>
      </c>
      <c r="B212" s="1">
        <v>41057</v>
      </c>
      <c r="C212" s="2">
        <f t="shared" si="3"/>
        <v>3</v>
      </c>
      <c r="D212" s="6" t="s">
        <v>3322</v>
      </c>
      <c r="E212" s="3" t="s">
        <v>3323</v>
      </c>
      <c r="F212" s="4" t="s">
        <v>58</v>
      </c>
      <c r="G212" s="3" t="s">
        <v>3324</v>
      </c>
      <c r="H212" s="3" t="s">
        <v>962</v>
      </c>
      <c r="I212" s="3" t="s">
        <v>963</v>
      </c>
      <c r="J212" s="3" t="s">
        <v>61</v>
      </c>
      <c r="K212" s="3"/>
      <c r="L212" s="3"/>
      <c r="M212" s="3"/>
      <c r="N212" s="3"/>
      <c r="O212" s="3"/>
      <c r="P212" s="3"/>
      <c r="Q212" s="3"/>
      <c r="R212" s="3"/>
      <c r="S212" s="3"/>
    </row>
    <row r="213" spans="1:19" ht="26.25" x14ac:dyDescent="0.25">
      <c r="A213" s="1">
        <v>41095</v>
      </c>
      <c r="B213" s="1">
        <v>41097</v>
      </c>
      <c r="C213" s="2">
        <f t="shared" si="3"/>
        <v>3</v>
      </c>
      <c r="D213" s="6" t="s">
        <v>3621</v>
      </c>
      <c r="E213" s="3" t="s">
        <v>3622</v>
      </c>
      <c r="F213" s="4" t="s">
        <v>58</v>
      </c>
      <c r="G213" s="3" t="s">
        <v>2279</v>
      </c>
      <c r="H213" s="3"/>
      <c r="I213" s="3" t="s">
        <v>105</v>
      </c>
      <c r="J213" s="3" t="s">
        <v>61</v>
      </c>
      <c r="K213" s="3"/>
      <c r="L213" s="3"/>
      <c r="M213" s="3"/>
      <c r="N213" s="3"/>
      <c r="O213" s="3"/>
      <c r="P213" s="3"/>
      <c r="Q213" s="3"/>
      <c r="R213" s="3"/>
      <c r="S213" s="3"/>
    </row>
    <row r="214" spans="1:19" ht="39" x14ac:dyDescent="0.25">
      <c r="A214" s="1">
        <v>41153</v>
      </c>
      <c r="B214" s="1">
        <v>41155</v>
      </c>
      <c r="C214" s="2">
        <f t="shared" si="3"/>
        <v>3</v>
      </c>
      <c r="D214" s="6" t="s">
        <v>3870</v>
      </c>
      <c r="E214" s="3" t="s">
        <v>3871</v>
      </c>
      <c r="F214" s="4" t="s">
        <v>58</v>
      </c>
      <c r="G214" s="3" t="s">
        <v>961</v>
      </c>
      <c r="H214" s="3" t="s">
        <v>2597</v>
      </c>
      <c r="I214" s="3" t="s">
        <v>963</v>
      </c>
      <c r="J214" s="3" t="s">
        <v>61</v>
      </c>
      <c r="K214" s="3"/>
      <c r="L214" s="3"/>
      <c r="M214" s="3"/>
      <c r="N214" s="3"/>
      <c r="O214" s="3"/>
      <c r="P214" s="3"/>
      <c r="Q214" s="3"/>
      <c r="R214" s="3"/>
      <c r="S214" s="3"/>
    </row>
    <row r="215" spans="1:19" ht="39" x14ac:dyDescent="0.25">
      <c r="A215" s="1">
        <v>41166</v>
      </c>
      <c r="B215" s="1">
        <v>41168</v>
      </c>
      <c r="C215" s="2">
        <f t="shared" si="3"/>
        <v>3</v>
      </c>
      <c r="D215" s="6" t="s">
        <v>3937</v>
      </c>
      <c r="E215" s="3" t="s">
        <v>3938</v>
      </c>
      <c r="F215" s="4" t="s">
        <v>58</v>
      </c>
      <c r="G215" s="3" t="s">
        <v>3150</v>
      </c>
      <c r="H215" s="3"/>
      <c r="I215" s="3" t="s">
        <v>3150</v>
      </c>
      <c r="J215" s="3" t="s">
        <v>61</v>
      </c>
      <c r="K215" s="3"/>
      <c r="L215" s="3"/>
      <c r="M215" s="3"/>
      <c r="N215" s="3"/>
      <c r="O215" s="3"/>
      <c r="P215" s="3"/>
      <c r="Q215" s="3"/>
      <c r="R215" s="3"/>
      <c r="S215" s="3"/>
    </row>
    <row r="216" spans="1:19" ht="51.75" x14ac:dyDescent="0.25">
      <c r="A216" s="1">
        <v>41172</v>
      </c>
      <c r="B216" s="1">
        <v>41174</v>
      </c>
      <c r="C216" s="2">
        <f t="shared" si="3"/>
        <v>3</v>
      </c>
      <c r="D216" s="6" t="s">
        <v>3959</v>
      </c>
      <c r="E216" s="3" t="s">
        <v>3960</v>
      </c>
      <c r="F216" s="4" t="s">
        <v>58</v>
      </c>
      <c r="G216" s="3" t="s">
        <v>3961</v>
      </c>
      <c r="H216" s="3"/>
      <c r="I216" s="3" t="s">
        <v>2047</v>
      </c>
      <c r="J216" s="3" t="s">
        <v>61</v>
      </c>
      <c r="K216" s="3"/>
      <c r="L216" s="3"/>
      <c r="M216" s="3"/>
      <c r="N216" s="3"/>
      <c r="O216" s="3"/>
      <c r="P216" s="3"/>
      <c r="Q216" s="3"/>
      <c r="R216" s="3"/>
      <c r="S216" s="3"/>
    </row>
    <row r="217" spans="1:19" ht="26.25" x14ac:dyDescent="0.25">
      <c r="A217" s="1">
        <v>40816</v>
      </c>
      <c r="B217" s="1">
        <v>40817</v>
      </c>
      <c r="C217" s="2">
        <f t="shared" si="3"/>
        <v>2</v>
      </c>
      <c r="D217" s="6" t="s">
        <v>433</v>
      </c>
      <c r="E217" s="3" t="s">
        <v>434</v>
      </c>
      <c r="F217" s="4" t="s">
        <v>58</v>
      </c>
      <c r="G217" s="3">
        <v>14</v>
      </c>
      <c r="H217" s="3"/>
      <c r="I217" s="3" t="s">
        <v>125</v>
      </c>
      <c r="J217" s="3" t="s">
        <v>61</v>
      </c>
      <c r="K217" s="3"/>
      <c r="L217" s="3"/>
      <c r="M217" s="3"/>
      <c r="N217" s="3"/>
      <c r="O217" s="3"/>
      <c r="P217" s="3"/>
      <c r="Q217" s="3"/>
      <c r="R217" s="3"/>
      <c r="S217" s="3"/>
    </row>
    <row r="218" spans="1:19" ht="26.25" x14ac:dyDescent="0.25">
      <c r="A218" s="1">
        <v>40817</v>
      </c>
      <c r="B218" s="1">
        <v>40818</v>
      </c>
      <c r="C218" s="2">
        <f t="shared" si="3"/>
        <v>2</v>
      </c>
      <c r="D218" s="6" t="s">
        <v>690</v>
      </c>
      <c r="E218" s="3" t="s">
        <v>691</v>
      </c>
      <c r="F218" s="4" t="s">
        <v>58</v>
      </c>
      <c r="G218" s="3" t="s">
        <v>692</v>
      </c>
      <c r="H218" s="3"/>
      <c r="I218" s="3" t="s">
        <v>325</v>
      </c>
      <c r="J218" s="3" t="s">
        <v>61</v>
      </c>
      <c r="K218" s="3"/>
      <c r="L218" s="3"/>
      <c r="M218" s="3"/>
      <c r="N218" s="3"/>
      <c r="O218" s="3"/>
      <c r="P218" s="3"/>
      <c r="Q218" s="3"/>
      <c r="R218" s="3"/>
      <c r="S218" s="3"/>
    </row>
    <row r="219" spans="1:19" ht="26.25" x14ac:dyDescent="0.25">
      <c r="A219" s="1">
        <v>40817</v>
      </c>
      <c r="B219" s="1">
        <v>40818</v>
      </c>
      <c r="C219" s="2">
        <f t="shared" si="3"/>
        <v>2</v>
      </c>
      <c r="D219" s="6" t="s">
        <v>654</v>
      </c>
      <c r="E219" s="3" t="s">
        <v>3992</v>
      </c>
      <c r="F219" s="4" t="s">
        <v>58</v>
      </c>
      <c r="G219" s="3" t="s">
        <v>655</v>
      </c>
      <c r="H219" s="3" t="s">
        <v>656</v>
      </c>
      <c r="I219" s="3" t="s">
        <v>227</v>
      </c>
      <c r="J219" s="3" t="s">
        <v>61</v>
      </c>
      <c r="K219" s="3"/>
      <c r="L219" s="3"/>
      <c r="M219" s="3"/>
      <c r="N219" s="3"/>
      <c r="O219" s="3"/>
      <c r="P219" s="3"/>
      <c r="Q219" s="3"/>
      <c r="R219" s="3"/>
      <c r="S219" s="3"/>
    </row>
    <row r="220" spans="1:19" ht="26.25" x14ac:dyDescent="0.25">
      <c r="A220" s="1">
        <v>40817</v>
      </c>
      <c r="B220" s="1">
        <v>40818</v>
      </c>
      <c r="C220" s="2">
        <f t="shared" si="3"/>
        <v>2</v>
      </c>
      <c r="D220" s="6" t="s">
        <v>661</v>
      </c>
      <c r="E220" s="3" t="s">
        <v>662</v>
      </c>
      <c r="F220" s="4" t="s">
        <v>58</v>
      </c>
      <c r="G220" s="3" t="s">
        <v>663</v>
      </c>
      <c r="H220" s="3"/>
      <c r="I220" s="3" t="s">
        <v>165</v>
      </c>
      <c r="J220" s="3" t="s">
        <v>61</v>
      </c>
      <c r="K220" s="3"/>
      <c r="L220" s="3"/>
      <c r="M220" s="3"/>
      <c r="N220" s="3"/>
      <c r="O220" s="3"/>
      <c r="P220" s="3"/>
      <c r="Q220" s="3"/>
      <c r="R220" s="3"/>
      <c r="S220" s="3"/>
    </row>
    <row r="221" spans="1:19" ht="26.25" x14ac:dyDescent="0.25">
      <c r="A221" s="1">
        <v>40817</v>
      </c>
      <c r="B221" s="1">
        <v>40818</v>
      </c>
      <c r="C221" s="2">
        <f t="shared" si="3"/>
        <v>2</v>
      </c>
      <c r="D221" s="6" t="s">
        <v>674</v>
      </c>
      <c r="E221" s="3" t="s">
        <v>675</v>
      </c>
      <c r="F221" s="4" t="s">
        <v>58</v>
      </c>
      <c r="G221" s="3" t="s">
        <v>676</v>
      </c>
      <c r="H221" s="3"/>
      <c r="I221" s="3" t="s">
        <v>105</v>
      </c>
      <c r="J221" s="3" t="s">
        <v>61</v>
      </c>
      <c r="K221" s="3"/>
      <c r="L221" s="3"/>
      <c r="M221" s="3"/>
      <c r="N221" s="3"/>
      <c r="O221" s="3"/>
      <c r="P221" s="3"/>
      <c r="Q221" s="3"/>
      <c r="R221" s="3"/>
      <c r="S221" s="3"/>
    </row>
    <row r="222" spans="1:19" ht="39" x14ac:dyDescent="0.25">
      <c r="A222" s="1">
        <v>40817</v>
      </c>
      <c r="B222" s="1">
        <v>40818</v>
      </c>
      <c r="C222" s="2">
        <f t="shared" si="3"/>
        <v>2</v>
      </c>
      <c r="D222" s="6" t="s">
        <v>678</v>
      </c>
      <c r="E222" s="3" t="s">
        <v>679</v>
      </c>
      <c r="F222" s="4" t="s">
        <v>58</v>
      </c>
      <c r="G222" s="3" t="s">
        <v>680</v>
      </c>
      <c r="H222" s="3"/>
      <c r="I222" s="3" t="s">
        <v>210</v>
      </c>
      <c r="J222" s="3" t="s">
        <v>61</v>
      </c>
      <c r="K222" s="3"/>
      <c r="L222" s="3"/>
      <c r="M222" s="3"/>
      <c r="N222" s="3"/>
      <c r="O222" s="3"/>
      <c r="P222" s="3"/>
      <c r="Q222" s="3"/>
      <c r="R222" s="3"/>
      <c r="S222" s="3"/>
    </row>
    <row r="223" spans="1:19" ht="39" x14ac:dyDescent="0.25">
      <c r="A223" s="1">
        <v>40817</v>
      </c>
      <c r="B223" s="1">
        <v>40818</v>
      </c>
      <c r="C223" s="2">
        <f t="shared" si="3"/>
        <v>2</v>
      </c>
      <c r="D223" s="6" t="s">
        <v>693</v>
      </c>
      <c r="E223" s="3" t="s">
        <v>694</v>
      </c>
      <c r="F223" s="4" t="s">
        <v>58</v>
      </c>
      <c r="G223" s="3" t="s">
        <v>695</v>
      </c>
      <c r="H223" s="3"/>
      <c r="I223" s="3" t="s">
        <v>686</v>
      </c>
      <c r="J223" s="3" t="s">
        <v>61</v>
      </c>
      <c r="K223" s="3"/>
      <c r="L223" s="3"/>
      <c r="M223" s="3"/>
      <c r="N223" s="3"/>
      <c r="O223" s="3"/>
      <c r="P223" s="3"/>
      <c r="Q223" s="3"/>
      <c r="R223" s="3"/>
      <c r="S223" s="3"/>
    </row>
    <row r="224" spans="1:19" ht="26.25" x14ac:dyDescent="0.25">
      <c r="A224" s="1">
        <v>40819</v>
      </c>
      <c r="B224" s="1">
        <v>40820</v>
      </c>
      <c r="C224" s="2">
        <f t="shared" si="3"/>
        <v>2</v>
      </c>
      <c r="D224" s="6" t="s">
        <v>770</v>
      </c>
      <c r="E224" s="3" t="s">
        <v>771</v>
      </c>
      <c r="F224" s="4" t="s">
        <v>58</v>
      </c>
      <c r="G224" s="3" t="s">
        <v>772</v>
      </c>
      <c r="H224" s="3"/>
      <c r="I224" s="3" t="s">
        <v>303</v>
      </c>
      <c r="J224" s="3" t="s">
        <v>61</v>
      </c>
      <c r="K224" s="3"/>
      <c r="L224" s="3"/>
      <c r="M224" s="3"/>
      <c r="N224" s="3"/>
      <c r="O224" s="3"/>
      <c r="P224" s="3"/>
      <c r="Q224" s="3"/>
      <c r="R224" s="3"/>
      <c r="S224" s="3"/>
    </row>
    <row r="225" spans="1:19" ht="51.75" x14ac:dyDescent="0.25">
      <c r="A225" s="16">
        <v>40823</v>
      </c>
      <c r="B225" s="16">
        <v>40824</v>
      </c>
      <c r="C225" s="2">
        <f t="shared" si="3"/>
        <v>2</v>
      </c>
      <c r="D225" s="27" t="s">
        <v>885</v>
      </c>
      <c r="E225" s="7" t="s">
        <v>886</v>
      </c>
      <c r="F225" s="4" t="s">
        <v>58</v>
      </c>
      <c r="G225" s="7" t="s">
        <v>887</v>
      </c>
      <c r="H225" s="7"/>
      <c r="I225" s="7" t="s">
        <v>888</v>
      </c>
      <c r="J225" s="7" t="s">
        <v>61</v>
      </c>
      <c r="K225" s="7"/>
      <c r="L225" s="7"/>
      <c r="M225" s="7"/>
      <c r="N225" s="7"/>
      <c r="O225" s="7"/>
      <c r="P225" s="7"/>
      <c r="Q225" s="7"/>
      <c r="R225" s="7"/>
      <c r="S225" s="7"/>
    </row>
    <row r="226" spans="1:19" ht="26.25" x14ac:dyDescent="0.25">
      <c r="A226" s="1">
        <v>40823</v>
      </c>
      <c r="B226" s="1">
        <v>40824</v>
      </c>
      <c r="C226" s="2">
        <f t="shared" si="3"/>
        <v>2</v>
      </c>
      <c r="D226" s="6" t="s">
        <v>880</v>
      </c>
      <c r="E226" s="3" t="s">
        <v>881</v>
      </c>
      <c r="F226" s="4" t="s">
        <v>58</v>
      </c>
      <c r="G226" s="3" t="s">
        <v>882</v>
      </c>
      <c r="H226" s="3" t="s">
        <v>883</v>
      </c>
      <c r="I226" s="3" t="s">
        <v>105</v>
      </c>
      <c r="J226" s="3" t="s">
        <v>61</v>
      </c>
      <c r="K226" s="3"/>
      <c r="L226" s="3"/>
      <c r="M226" s="3"/>
      <c r="N226" s="3"/>
      <c r="O226" s="3"/>
      <c r="P226" s="3"/>
      <c r="Q226" s="3"/>
      <c r="R226" s="3"/>
      <c r="S226" s="3"/>
    </row>
    <row r="227" spans="1:19" ht="26.25" x14ac:dyDescent="0.25">
      <c r="A227" s="1">
        <v>40823</v>
      </c>
      <c r="B227" s="1">
        <v>40824</v>
      </c>
      <c r="C227" s="2">
        <f t="shared" si="3"/>
        <v>2</v>
      </c>
      <c r="D227" s="6" t="s">
        <v>891</v>
      </c>
      <c r="E227" s="3" t="s">
        <v>892</v>
      </c>
      <c r="F227" s="4" t="s">
        <v>58</v>
      </c>
      <c r="G227" s="3" t="s">
        <v>893</v>
      </c>
      <c r="H227" s="3"/>
      <c r="I227" s="3" t="s">
        <v>894</v>
      </c>
      <c r="J227" s="3" t="s">
        <v>61</v>
      </c>
      <c r="K227" s="3"/>
      <c r="L227" s="3"/>
      <c r="M227" s="3"/>
      <c r="N227" s="3"/>
      <c r="O227" s="3"/>
      <c r="P227" s="3"/>
      <c r="Q227" s="3"/>
      <c r="R227" s="3"/>
      <c r="S227" s="3"/>
    </row>
    <row r="228" spans="1:19" ht="26.25" x14ac:dyDescent="0.25">
      <c r="A228" s="1">
        <v>40823</v>
      </c>
      <c r="B228" s="1">
        <v>40824</v>
      </c>
      <c r="C228" s="2">
        <f t="shared" si="3"/>
        <v>2</v>
      </c>
      <c r="D228" s="6" t="s">
        <v>897</v>
      </c>
      <c r="E228" s="3" t="s">
        <v>897</v>
      </c>
      <c r="F228" s="4" t="s">
        <v>58</v>
      </c>
      <c r="G228" s="3" t="s">
        <v>297</v>
      </c>
      <c r="H228" s="3"/>
      <c r="I228" s="3" t="s">
        <v>60</v>
      </c>
      <c r="J228" s="3" t="s">
        <v>61</v>
      </c>
      <c r="K228" s="3"/>
      <c r="L228" s="3"/>
      <c r="M228" s="3"/>
      <c r="N228" s="3"/>
      <c r="O228" s="3"/>
      <c r="P228" s="3"/>
      <c r="Q228" s="3"/>
      <c r="R228" s="3"/>
      <c r="S228" s="3"/>
    </row>
    <row r="229" spans="1:19" ht="39" x14ac:dyDescent="0.25">
      <c r="A229" s="1">
        <v>40823</v>
      </c>
      <c r="B229" s="1">
        <v>40824</v>
      </c>
      <c r="C229" s="2">
        <f t="shared" si="3"/>
        <v>2</v>
      </c>
      <c r="D229" s="6" t="s">
        <v>898</v>
      </c>
      <c r="E229" s="3" t="s">
        <v>899</v>
      </c>
      <c r="F229" s="4" t="s">
        <v>58</v>
      </c>
      <c r="G229" s="3" t="s">
        <v>900</v>
      </c>
      <c r="H229" s="3" t="s">
        <v>901</v>
      </c>
      <c r="I229" s="3" t="s">
        <v>245</v>
      </c>
      <c r="J229" s="3" t="s">
        <v>61</v>
      </c>
      <c r="K229" s="3"/>
      <c r="L229" s="3"/>
      <c r="M229" s="3"/>
      <c r="N229" s="3"/>
      <c r="O229" s="3"/>
      <c r="P229" s="3"/>
      <c r="Q229" s="3"/>
      <c r="R229" s="3"/>
      <c r="S229" s="3"/>
    </row>
    <row r="230" spans="1:19" ht="26.25" x14ac:dyDescent="0.25">
      <c r="A230" s="1">
        <v>40823</v>
      </c>
      <c r="B230" s="1">
        <v>40824</v>
      </c>
      <c r="C230" s="2">
        <f t="shared" si="3"/>
        <v>2</v>
      </c>
      <c r="D230" s="6" t="s">
        <v>906</v>
      </c>
      <c r="E230" s="3" t="s">
        <v>906</v>
      </c>
      <c r="F230" s="4" t="s">
        <v>58</v>
      </c>
      <c r="G230" s="3" t="s">
        <v>907</v>
      </c>
      <c r="H230" s="3"/>
      <c r="I230" s="3" t="s">
        <v>60</v>
      </c>
      <c r="J230" s="3" t="s">
        <v>61</v>
      </c>
      <c r="K230" s="3"/>
      <c r="L230" s="3"/>
      <c r="M230" s="3"/>
      <c r="N230" s="3"/>
      <c r="O230" s="3"/>
      <c r="P230" s="3"/>
      <c r="Q230" s="3"/>
      <c r="R230" s="3"/>
      <c r="S230" s="3"/>
    </row>
    <row r="231" spans="1:19" ht="39" x14ac:dyDescent="0.25">
      <c r="A231" s="1">
        <v>40823</v>
      </c>
      <c r="B231" s="1">
        <v>40824</v>
      </c>
      <c r="C231" s="2">
        <f t="shared" si="3"/>
        <v>2</v>
      </c>
      <c r="D231" s="6" t="s">
        <v>909</v>
      </c>
      <c r="E231" s="3" t="s">
        <v>909</v>
      </c>
      <c r="F231" s="4" t="s">
        <v>58</v>
      </c>
      <c r="G231" s="3" t="s">
        <v>810</v>
      </c>
      <c r="H231" s="3" t="s">
        <v>811</v>
      </c>
      <c r="I231" s="3" t="s">
        <v>60</v>
      </c>
      <c r="J231" s="3" t="s">
        <v>61</v>
      </c>
      <c r="K231" s="3"/>
      <c r="L231" s="3"/>
      <c r="M231" s="3"/>
      <c r="N231" s="3"/>
      <c r="O231" s="3"/>
      <c r="P231" s="3"/>
      <c r="Q231" s="3"/>
      <c r="R231" s="3"/>
      <c r="S231" s="3"/>
    </row>
    <row r="232" spans="1:19" ht="39" x14ac:dyDescent="0.25">
      <c r="A232" s="1">
        <v>40824</v>
      </c>
      <c r="B232" s="1">
        <v>40825</v>
      </c>
      <c r="C232" s="2">
        <f t="shared" si="3"/>
        <v>2</v>
      </c>
      <c r="D232" s="6" t="s">
        <v>1089</v>
      </c>
      <c r="E232" s="3" t="s">
        <v>1090</v>
      </c>
      <c r="F232" s="4" t="s">
        <v>58</v>
      </c>
      <c r="G232" s="3" t="s">
        <v>1091</v>
      </c>
      <c r="H232" s="3" t="s">
        <v>1092</v>
      </c>
      <c r="I232" s="3" t="s">
        <v>963</v>
      </c>
      <c r="J232" s="3" t="s">
        <v>61</v>
      </c>
      <c r="K232" s="3"/>
      <c r="L232" s="3"/>
      <c r="M232" s="3"/>
      <c r="N232" s="3"/>
      <c r="O232" s="3"/>
      <c r="P232" s="3"/>
      <c r="Q232" s="3"/>
      <c r="R232" s="3"/>
      <c r="S232" s="3"/>
    </row>
    <row r="233" spans="1:19" ht="26.25" x14ac:dyDescent="0.25">
      <c r="A233" s="1">
        <v>40824</v>
      </c>
      <c r="B233" s="1">
        <v>40825</v>
      </c>
      <c r="C233" s="2">
        <f t="shared" si="3"/>
        <v>2</v>
      </c>
      <c r="D233" s="6" t="s">
        <v>1107</v>
      </c>
      <c r="E233" s="3" t="s">
        <v>1108</v>
      </c>
      <c r="F233" s="4" t="s">
        <v>58</v>
      </c>
      <c r="G233" s="3" t="s">
        <v>692</v>
      </c>
      <c r="H233" s="3"/>
      <c r="I233" s="3" t="s">
        <v>325</v>
      </c>
      <c r="J233" s="3" t="s">
        <v>61</v>
      </c>
      <c r="K233" s="3"/>
      <c r="L233" s="3"/>
      <c r="M233" s="3"/>
      <c r="N233" s="3"/>
      <c r="O233" s="3"/>
      <c r="P233" s="3"/>
      <c r="Q233" s="3"/>
      <c r="R233" s="3"/>
      <c r="S233" s="3"/>
    </row>
    <row r="234" spans="1:19" ht="39" x14ac:dyDescent="0.25">
      <c r="A234" s="1">
        <v>40824</v>
      </c>
      <c r="B234" s="1">
        <v>40825</v>
      </c>
      <c r="C234" s="2">
        <f t="shared" si="3"/>
        <v>2</v>
      </c>
      <c r="D234" s="6" t="s">
        <v>1063</v>
      </c>
      <c r="E234" s="3" t="s">
        <v>1064</v>
      </c>
      <c r="F234" s="4" t="s">
        <v>58</v>
      </c>
      <c r="G234" s="3" t="s">
        <v>1065</v>
      </c>
      <c r="H234" s="3" t="s">
        <v>1066</v>
      </c>
      <c r="I234" s="3" t="s">
        <v>245</v>
      </c>
      <c r="J234" s="3" t="s">
        <v>61</v>
      </c>
      <c r="K234" s="3"/>
      <c r="L234" s="3"/>
      <c r="M234" s="3"/>
      <c r="N234" s="3"/>
      <c r="O234" s="3"/>
      <c r="P234" s="3"/>
      <c r="Q234" s="3"/>
      <c r="R234" s="3"/>
      <c r="S234" s="3"/>
    </row>
    <row r="235" spans="1:19" ht="26.25" x14ac:dyDescent="0.25">
      <c r="A235" s="1">
        <v>40824</v>
      </c>
      <c r="B235" s="1">
        <v>40825</v>
      </c>
      <c r="C235" s="2">
        <f t="shared" si="3"/>
        <v>2</v>
      </c>
      <c r="D235" s="6" t="s">
        <v>1070</v>
      </c>
      <c r="E235" s="3" t="s">
        <v>1070</v>
      </c>
      <c r="F235" s="4" t="s">
        <v>58</v>
      </c>
      <c r="G235" s="3" t="s">
        <v>1071</v>
      </c>
      <c r="H235" s="3"/>
      <c r="I235" s="3" t="s">
        <v>60</v>
      </c>
      <c r="J235" s="3" t="s">
        <v>61</v>
      </c>
      <c r="K235" s="3"/>
      <c r="L235" s="3"/>
      <c r="M235" s="3"/>
      <c r="N235" s="3"/>
      <c r="O235" s="3"/>
      <c r="P235" s="3"/>
      <c r="Q235" s="3"/>
      <c r="R235" s="3"/>
      <c r="S235" s="3"/>
    </row>
    <row r="236" spans="1:19" ht="51.75" x14ac:dyDescent="0.25">
      <c r="A236" s="1">
        <v>40824</v>
      </c>
      <c r="B236" s="1">
        <v>40825</v>
      </c>
      <c r="C236" s="2">
        <f t="shared" si="3"/>
        <v>2</v>
      </c>
      <c r="D236" s="6" t="s">
        <v>1075</v>
      </c>
      <c r="E236" s="3" t="s">
        <v>1076</v>
      </c>
      <c r="F236" s="4" t="s">
        <v>58</v>
      </c>
      <c r="G236" s="3" t="s">
        <v>1077</v>
      </c>
      <c r="H236" s="3" t="s">
        <v>1078</v>
      </c>
      <c r="I236" s="3" t="s">
        <v>179</v>
      </c>
      <c r="J236" s="3" t="s">
        <v>61</v>
      </c>
      <c r="K236" s="3"/>
      <c r="L236" s="3"/>
      <c r="M236" s="3"/>
      <c r="N236" s="3"/>
      <c r="O236" s="3"/>
      <c r="P236" s="3"/>
      <c r="Q236" s="3"/>
      <c r="R236" s="3"/>
      <c r="S236" s="3"/>
    </row>
    <row r="237" spans="1:19" ht="64.5" x14ac:dyDescent="0.25">
      <c r="A237" s="1">
        <v>40824</v>
      </c>
      <c r="B237" s="1">
        <v>40825</v>
      </c>
      <c r="C237" s="2">
        <f t="shared" si="3"/>
        <v>2</v>
      </c>
      <c r="D237" s="6" t="s">
        <v>1097</v>
      </c>
      <c r="E237" s="3" t="s">
        <v>1098</v>
      </c>
      <c r="F237" s="4" t="s">
        <v>58</v>
      </c>
      <c r="G237" s="3" t="s">
        <v>1099</v>
      </c>
      <c r="H237" s="3" t="s">
        <v>1100</v>
      </c>
      <c r="I237" s="3" t="s">
        <v>1101</v>
      </c>
      <c r="J237" s="3" t="s">
        <v>61</v>
      </c>
      <c r="K237" s="3"/>
      <c r="L237" s="3"/>
      <c r="M237" s="3"/>
      <c r="N237" s="3"/>
      <c r="O237" s="3"/>
      <c r="P237" s="3"/>
      <c r="Q237" s="3"/>
      <c r="R237" s="3"/>
      <c r="S237" s="3"/>
    </row>
    <row r="238" spans="1:19" ht="26.25" x14ac:dyDescent="0.25">
      <c r="A238" s="1">
        <v>40824</v>
      </c>
      <c r="B238" s="1">
        <v>40825</v>
      </c>
      <c r="C238" s="2">
        <f t="shared" si="3"/>
        <v>2</v>
      </c>
      <c r="D238" s="6" t="s">
        <v>1104</v>
      </c>
      <c r="E238" s="3" t="s">
        <v>1104</v>
      </c>
      <c r="F238" s="4" t="s">
        <v>58</v>
      </c>
      <c r="G238" s="3" t="s">
        <v>1105</v>
      </c>
      <c r="H238" s="3" t="s">
        <v>1106</v>
      </c>
      <c r="I238" s="3" t="s">
        <v>60</v>
      </c>
      <c r="J238" s="3" t="s">
        <v>61</v>
      </c>
      <c r="K238" s="3"/>
      <c r="L238" s="3"/>
      <c r="M238" s="3"/>
      <c r="N238" s="3"/>
      <c r="O238" s="3"/>
      <c r="P238" s="3"/>
      <c r="Q238" s="3"/>
      <c r="R238" s="3"/>
      <c r="S238" s="3"/>
    </row>
    <row r="239" spans="1:19" ht="39" x14ac:dyDescent="0.25">
      <c r="A239" s="1">
        <v>40830</v>
      </c>
      <c r="B239" s="1">
        <v>40831</v>
      </c>
      <c r="C239" s="2">
        <f t="shared" si="3"/>
        <v>2</v>
      </c>
      <c r="D239" s="6" t="s">
        <v>1209</v>
      </c>
      <c r="E239" s="3" t="s">
        <v>1210</v>
      </c>
      <c r="F239" s="4" t="s">
        <v>58</v>
      </c>
      <c r="G239" s="3" t="s">
        <v>1211</v>
      </c>
      <c r="H239" s="3" t="s">
        <v>1212</v>
      </c>
      <c r="I239" s="3" t="s">
        <v>888</v>
      </c>
      <c r="J239" s="3" t="s">
        <v>61</v>
      </c>
      <c r="K239" s="3"/>
      <c r="L239" s="3"/>
      <c r="M239" s="3"/>
      <c r="N239" s="3"/>
      <c r="O239" s="3"/>
      <c r="P239" s="3"/>
      <c r="Q239" s="3"/>
      <c r="R239" s="3"/>
      <c r="S239" s="3"/>
    </row>
    <row r="240" spans="1:19" ht="39" x14ac:dyDescent="0.25">
      <c r="A240" s="1">
        <v>40830</v>
      </c>
      <c r="B240" s="1">
        <v>40831</v>
      </c>
      <c r="C240" s="2">
        <f t="shared" si="3"/>
        <v>2</v>
      </c>
      <c r="D240" s="6" t="s">
        <v>1216</v>
      </c>
      <c r="E240" s="3" t="s">
        <v>1217</v>
      </c>
      <c r="F240" s="5" t="s">
        <v>58</v>
      </c>
      <c r="G240" s="3" t="s">
        <v>1218</v>
      </c>
      <c r="H240" s="3"/>
      <c r="I240" s="3" t="s">
        <v>1174</v>
      </c>
      <c r="J240" s="3" t="s">
        <v>61</v>
      </c>
      <c r="K240" s="3"/>
      <c r="L240" s="3"/>
      <c r="M240" s="3"/>
      <c r="N240" s="3"/>
      <c r="O240" s="3"/>
      <c r="P240" s="3"/>
      <c r="Q240" s="3"/>
      <c r="R240" s="3"/>
      <c r="S240" s="3"/>
    </row>
    <row r="241" spans="1:19" ht="39" x14ac:dyDescent="0.25">
      <c r="A241" s="1">
        <v>40831</v>
      </c>
      <c r="B241" s="1">
        <v>40832</v>
      </c>
      <c r="C241" s="2">
        <f t="shared" si="3"/>
        <v>2</v>
      </c>
      <c r="D241" s="6" t="s">
        <v>1313</v>
      </c>
      <c r="E241" s="3" t="s">
        <v>1314</v>
      </c>
      <c r="F241" s="4" t="s">
        <v>58</v>
      </c>
      <c r="G241" s="3" t="s">
        <v>692</v>
      </c>
      <c r="H241" s="3"/>
      <c r="I241" s="3" t="s">
        <v>325</v>
      </c>
      <c r="J241" s="3" t="s">
        <v>61</v>
      </c>
      <c r="K241" s="3"/>
      <c r="L241" s="3"/>
      <c r="M241" s="3"/>
      <c r="N241" s="3"/>
      <c r="O241" s="3"/>
      <c r="P241" s="3"/>
      <c r="Q241" s="3"/>
      <c r="R241" s="3"/>
      <c r="S241" s="3"/>
    </row>
    <row r="242" spans="1:19" ht="39" x14ac:dyDescent="0.25">
      <c r="A242" s="1">
        <v>40831</v>
      </c>
      <c r="B242" s="1">
        <v>40832</v>
      </c>
      <c r="C242" s="2">
        <f t="shared" si="3"/>
        <v>2</v>
      </c>
      <c r="D242" s="6" t="s">
        <v>1315</v>
      </c>
      <c r="E242" s="3" t="s">
        <v>1316</v>
      </c>
      <c r="F242" s="4" t="s">
        <v>58</v>
      </c>
      <c r="G242" s="3" t="s">
        <v>1317</v>
      </c>
      <c r="H242" s="3"/>
      <c r="I242" s="3" t="s">
        <v>518</v>
      </c>
      <c r="J242" s="3" t="s">
        <v>61</v>
      </c>
      <c r="K242" s="3"/>
      <c r="L242" s="3"/>
      <c r="M242" s="3"/>
      <c r="N242" s="3"/>
      <c r="O242" s="3"/>
      <c r="P242" s="3"/>
      <c r="Q242" s="3"/>
      <c r="R242" s="3"/>
      <c r="S242" s="3"/>
    </row>
    <row r="243" spans="1:19" ht="39" x14ac:dyDescent="0.25">
      <c r="A243" s="1">
        <v>40831</v>
      </c>
      <c r="B243" s="1">
        <v>40832</v>
      </c>
      <c r="C243" s="2">
        <f t="shared" si="3"/>
        <v>2</v>
      </c>
      <c r="D243" s="6" t="s">
        <v>1320</v>
      </c>
      <c r="E243" s="3" t="s">
        <v>1321</v>
      </c>
      <c r="F243" s="4" t="s">
        <v>58</v>
      </c>
      <c r="G243" s="3" t="s">
        <v>1322</v>
      </c>
      <c r="H243" s="3"/>
      <c r="I243" s="3" t="s">
        <v>172</v>
      </c>
      <c r="J243" s="3" t="s">
        <v>61</v>
      </c>
      <c r="K243" s="3"/>
      <c r="L243" s="3"/>
      <c r="M243" s="3"/>
      <c r="N243" s="3"/>
      <c r="O243" s="3"/>
      <c r="P243" s="3"/>
      <c r="Q243" s="3"/>
      <c r="R243" s="3"/>
      <c r="S243" s="3"/>
    </row>
    <row r="244" spans="1:19" ht="64.5" x14ac:dyDescent="0.25">
      <c r="A244" s="1">
        <v>40837</v>
      </c>
      <c r="B244" s="1">
        <v>40838</v>
      </c>
      <c r="C244" s="2">
        <f t="shared" si="3"/>
        <v>2</v>
      </c>
      <c r="D244" s="6" t="s">
        <v>1389</v>
      </c>
      <c r="E244" s="3" t="s">
        <v>1390</v>
      </c>
      <c r="F244" s="4" t="s">
        <v>58</v>
      </c>
      <c r="G244" s="3" t="s">
        <v>1391</v>
      </c>
      <c r="H244" s="3" t="s">
        <v>1392</v>
      </c>
      <c r="I244" s="3" t="s">
        <v>193</v>
      </c>
      <c r="J244" s="3" t="s">
        <v>61</v>
      </c>
      <c r="K244" s="3"/>
      <c r="L244" s="3"/>
      <c r="M244" s="3"/>
      <c r="N244" s="3"/>
      <c r="O244" s="3"/>
      <c r="P244" s="3"/>
      <c r="Q244" s="3"/>
      <c r="R244" s="3"/>
      <c r="S244" s="3"/>
    </row>
    <row r="245" spans="1:19" x14ac:dyDescent="0.25">
      <c r="A245" s="1">
        <v>40837</v>
      </c>
      <c r="B245" s="1">
        <v>40838</v>
      </c>
      <c r="C245" s="2">
        <f t="shared" si="3"/>
        <v>2</v>
      </c>
      <c r="D245" s="6" t="s">
        <v>1394</v>
      </c>
      <c r="E245" s="3" t="s">
        <v>1395</v>
      </c>
      <c r="F245" s="4" t="s">
        <v>58</v>
      </c>
      <c r="G245" s="3" t="s">
        <v>1396</v>
      </c>
      <c r="H245" s="3"/>
      <c r="I245" s="3" t="s">
        <v>261</v>
      </c>
      <c r="J245" s="3" t="s">
        <v>61</v>
      </c>
      <c r="K245" s="3"/>
      <c r="L245" s="3"/>
      <c r="M245" s="3"/>
      <c r="N245" s="3"/>
      <c r="O245" s="3"/>
      <c r="P245" s="3"/>
      <c r="Q245" s="3"/>
      <c r="R245" s="3"/>
      <c r="S245" s="3"/>
    </row>
    <row r="246" spans="1:19" ht="51.75" x14ac:dyDescent="0.25">
      <c r="A246" s="1">
        <v>40837</v>
      </c>
      <c r="B246" s="1">
        <v>40838</v>
      </c>
      <c r="C246" s="2">
        <f t="shared" si="3"/>
        <v>2</v>
      </c>
      <c r="D246" s="6" t="s">
        <v>1400</v>
      </c>
      <c r="E246" s="3" t="s">
        <v>1401</v>
      </c>
      <c r="F246" s="4" t="s">
        <v>58</v>
      </c>
      <c r="G246" s="3" t="s">
        <v>1402</v>
      </c>
      <c r="H246" s="3"/>
      <c r="I246" s="3" t="s">
        <v>1403</v>
      </c>
      <c r="J246" s="3" t="s">
        <v>61</v>
      </c>
      <c r="K246" s="3"/>
      <c r="L246" s="3"/>
      <c r="M246" s="3"/>
      <c r="N246" s="3"/>
      <c r="O246" s="3"/>
      <c r="P246" s="3"/>
      <c r="Q246" s="3"/>
      <c r="R246" s="3"/>
      <c r="S246" s="3"/>
    </row>
    <row r="247" spans="1:19" ht="26.25" x14ac:dyDescent="0.25">
      <c r="A247" s="1">
        <v>40838</v>
      </c>
      <c r="B247" s="1">
        <v>40839</v>
      </c>
      <c r="C247" s="2">
        <f t="shared" si="3"/>
        <v>2</v>
      </c>
      <c r="D247" s="6" t="s">
        <v>1462</v>
      </c>
      <c r="E247" s="3" t="s">
        <v>1462</v>
      </c>
      <c r="F247" s="4" t="s">
        <v>58</v>
      </c>
      <c r="G247" s="3" t="s">
        <v>1071</v>
      </c>
      <c r="H247" s="3"/>
      <c r="I247" s="3" t="s">
        <v>60</v>
      </c>
      <c r="J247" s="3" t="s">
        <v>61</v>
      </c>
      <c r="K247" s="3"/>
      <c r="L247" s="3"/>
      <c r="M247" s="3"/>
      <c r="N247" s="3"/>
      <c r="O247" s="3"/>
      <c r="P247" s="3"/>
      <c r="Q247" s="3"/>
      <c r="R247" s="3"/>
      <c r="S247" s="3"/>
    </row>
    <row r="248" spans="1:19" ht="39" x14ac:dyDescent="0.25">
      <c r="A248" s="1">
        <v>40843</v>
      </c>
      <c r="B248" s="1">
        <v>40844</v>
      </c>
      <c r="C248" s="2">
        <f t="shared" si="3"/>
        <v>2</v>
      </c>
      <c r="D248" s="6" t="s">
        <v>1517</v>
      </c>
      <c r="E248" s="3" t="s">
        <v>1518</v>
      </c>
      <c r="F248" s="4" t="s">
        <v>58</v>
      </c>
      <c r="G248" s="3" t="s">
        <v>1519</v>
      </c>
      <c r="H248" s="3" t="s">
        <v>1520</v>
      </c>
      <c r="I248" s="3" t="s">
        <v>179</v>
      </c>
      <c r="J248" s="3" t="s">
        <v>61</v>
      </c>
      <c r="K248" s="3"/>
      <c r="L248" s="3"/>
      <c r="M248" s="3"/>
      <c r="N248" s="3"/>
      <c r="O248" s="3"/>
      <c r="P248" s="3"/>
      <c r="Q248" s="3"/>
      <c r="R248" s="3"/>
      <c r="S248" s="3"/>
    </row>
    <row r="249" spans="1:19" ht="26.25" x14ac:dyDescent="0.25">
      <c r="A249" s="1">
        <v>40844</v>
      </c>
      <c r="B249" s="1">
        <v>40845</v>
      </c>
      <c r="C249" s="2">
        <f t="shared" si="3"/>
        <v>2</v>
      </c>
      <c r="D249" s="6" t="s">
        <v>1565</v>
      </c>
      <c r="E249" s="3" t="s">
        <v>1566</v>
      </c>
      <c r="F249" s="4" t="s">
        <v>58</v>
      </c>
      <c r="G249" s="3" t="s">
        <v>1567</v>
      </c>
      <c r="H249" s="3"/>
      <c r="I249" s="3" t="s">
        <v>210</v>
      </c>
      <c r="J249" s="3" t="s">
        <v>61</v>
      </c>
      <c r="K249" s="3"/>
      <c r="L249" s="3"/>
      <c r="M249" s="3"/>
      <c r="N249" s="3"/>
      <c r="O249" s="3"/>
      <c r="P249" s="3"/>
      <c r="Q249" s="3"/>
      <c r="R249" s="3"/>
      <c r="S249" s="3"/>
    </row>
    <row r="250" spans="1:19" ht="51.75" x14ac:dyDescent="0.25">
      <c r="A250" s="1">
        <v>40844</v>
      </c>
      <c r="B250" s="1">
        <v>40845</v>
      </c>
      <c r="C250" s="2">
        <f t="shared" si="3"/>
        <v>2</v>
      </c>
      <c r="D250" s="6" t="s">
        <v>1568</v>
      </c>
      <c r="E250" s="3" t="s">
        <v>1569</v>
      </c>
      <c r="F250" s="4" t="s">
        <v>58</v>
      </c>
      <c r="G250" s="3" t="s">
        <v>1570</v>
      </c>
      <c r="H250" s="3" t="s">
        <v>1571</v>
      </c>
      <c r="I250" s="3" t="s">
        <v>865</v>
      </c>
      <c r="J250" s="3" t="s">
        <v>61</v>
      </c>
      <c r="K250" s="3"/>
      <c r="L250" s="3"/>
      <c r="M250" s="3"/>
      <c r="N250" s="3"/>
      <c r="O250" s="3"/>
      <c r="P250" s="3"/>
      <c r="Q250" s="3"/>
      <c r="R250" s="3"/>
      <c r="S250" s="3"/>
    </row>
    <row r="251" spans="1:19" ht="39" x14ac:dyDescent="0.25">
      <c r="A251" s="1">
        <v>40844</v>
      </c>
      <c r="B251" s="1">
        <v>40845</v>
      </c>
      <c r="C251" s="2">
        <f t="shared" si="3"/>
        <v>2</v>
      </c>
      <c r="D251" s="6" t="s">
        <v>1575</v>
      </c>
      <c r="E251" s="3" t="s">
        <v>1576</v>
      </c>
      <c r="F251" s="8" t="s">
        <v>58</v>
      </c>
      <c r="G251" s="3" t="s">
        <v>479</v>
      </c>
      <c r="H251" s="3" t="s">
        <v>480</v>
      </c>
      <c r="I251" s="3" t="s">
        <v>245</v>
      </c>
      <c r="J251" s="3" t="s">
        <v>61</v>
      </c>
      <c r="K251" s="3"/>
      <c r="L251" s="3"/>
      <c r="M251" s="3"/>
      <c r="N251" s="3"/>
      <c r="O251" s="3"/>
      <c r="P251" s="3"/>
      <c r="Q251" s="3"/>
      <c r="R251" s="3"/>
      <c r="S251" s="3"/>
    </row>
    <row r="252" spans="1:19" ht="26.25" x14ac:dyDescent="0.25">
      <c r="A252" s="1">
        <v>40845</v>
      </c>
      <c r="B252" s="1">
        <v>40846</v>
      </c>
      <c r="C252" s="2">
        <f t="shared" si="3"/>
        <v>2</v>
      </c>
      <c r="D252" s="6" t="s">
        <v>1651</v>
      </c>
      <c r="E252" s="3" t="s">
        <v>1652</v>
      </c>
      <c r="F252" s="5" t="s">
        <v>58</v>
      </c>
      <c r="G252" s="3" t="s">
        <v>692</v>
      </c>
      <c r="H252" s="3"/>
      <c r="I252" s="3" t="s">
        <v>325</v>
      </c>
      <c r="J252" s="3" t="s">
        <v>61</v>
      </c>
      <c r="K252" s="3"/>
      <c r="L252" s="3"/>
      <c r="M252" s="3"/>
      <c r="N252" s="3"/>
      <c r="O252" s="3"/>
      <c r="P252" s="3"/>
      <c r="Q252" s="3"/>
      <c r="R252" s="3"/>
      <c r="S252" s="3"/>
    </row>
    <row r="253" spans="1:19" ht="39" x14ac:dyDescent="0.25">
      <c r="A253" s="1">
        <v>40845</v>
      </c>
      <c r="B253" s="1">
        <v>40846</v>
      </c>
      <c r="C253" s="2">
        <f t="shared" si="3"/>
        <v>2</v>
      </c>
      <c r="D253" s="6" t="s">
        <v>1645</v>
      </c>
      <c r="E253" s="3" t="s">
        <v>1646</v>
      </c>
      <c r="F253" s="4" t="s">
        <v>58</v>
      </c>
      <c r="G253" s="3" t="s">
        <v>1647</v>
      </c>
      <c r="H253" s="3" t="s">
        <v>1648</v>
      </c>
      <c r="I253" s="3" t="s">
        <v>105</v>
      </c>
      <c r="J253" s="3" t="s">
        <v>61</v>
      </c>
      <c r="K253" s="3"/>
      <c r="L253" s="3"/>
      <c r="M253" s="3"/>
      <c r="N253" s="3"/>
      <c r="O253" s="3"/>
      <c r="P253" s="3"/>
      <c r="Q253" s="3"/>
      <c r="R253" s="3"/>
      <c r="S253" s="3"/>
    </row>
    <row r="254" spans="1:19" ht="26.25" x14ac:dyDescent="0.25">
      <c r="A254" s="1">
        <v>40851</v>
      </c>
      <c r="B254" s="1">
        <v>40852</v>
      </c>
      <c r="C254" s="2">
        <f t="shared" si="3"/>
        <v>2</v>
      </c>
      <c r="D254" s="6" t="s">
        <v>1704</v>
      </c>
      <c r="E254" s="3" t="s">
        <v>1704</v>
      </c>
      <c r="F254" s="4" t="s">
        <v>58</v>
      </c>
      <c r="G254" s="3" t="s">
        <v>811</v>
      </c>
      <c r="H254" s="3" t="s">
        <v>810</v>
      </c>
      <c r="I254" s="3" t="s">
        <v>60</v>
      </c>
      <c r="J254" s="3" t="s">
        <v>61</v>
      </c>
      <c r="K254" s="3"/>
      <c r="L254" s="3"/>
      <c r="M254" s="3"/>
      <c r="N254" s="3"/>
      <c r="O254" s="3"/>
      <c r="P254" s="3"/>
      <c r="Q254" s="3"/>
      <c r="R254" s="3"/>
      <c r="S254" s="3"/>
    </row>
    <row r="255" spans="1:19" ht="39" x14ac:dyDescent="0.25">
      <c r="A255" s="1">
        <v>40852</v>
      </c>
      <c r="B255" s="1">
        <v>40853</v>
      </c>
      <c r="C255" s="2">
        <f t="shared" si="3"/>
        <v>2</v>
      </c>
      <c r="D255" s="6" t="s">
        <v>1788</v>
      </c>
      <c r="E255" s="3" t="s">
        <v>1789</v>
      </c>
      <c r="F255" s="4" t="s">
        <v>58</v>
      </c>
      <c r="G255" s="3" t="s">
        <v>1790</v>
      </c>
      <c r="H255" s="3" t="s">
        <v>1791</v>
      </c>
      <c r="I255" s="3" t="s">
        <v>1021</v>
      </c>
      <c r="J255" s="3" t="s">
        <v>61</v>
      </c>
      <c r="K255" s="3"/>
      <c r="L255" s="3"/>
      <c r="M255" s="3"/>
      <c r="N255" s="3"/>
      <c r="O255" s="3"/>
      <c r="P255" s="3"/>
      <c r="Q255" s="3"/>
      <c r="R255" s="3"/>
      <c r="S255" s="3"/>
    </row>
    <row r="256" spans="1:19" ht="39" x14ac:dyDescent="0.25">
      <c r="A256" s="1">
        <v>40852</v>
      </c>
      <c r="B256" s="1">
        <v>40853</v>
      </c>
      <c r="C256" s="2">
        <f t="shared" si="3"/>
        <v>2</v>
      </c>
      <c r="D256" s="6" t="s">
        <v>1796</v>
      </c>
      <c r="E256" s="3" t="s">
        <v>1797</v>
      </c>
      <c r="F256" s="4" t="s">
        <v>58</v>
      </c>
      <c r="G256" s="3" t="s">
        <v>1798</v>
      </c>
      <c r="H256" s="3" t="s">
        <v>1799</v>
      </c>
      <c r="I256" s="3" t="s">
        <v>1800</v>
      </c>
      <c r="J256" s="3" t="s">
        <v>61</v>
      </c>
      <c r="K256" s="3"/>
      <c r="L256" s="3"/>
      <c r="M256" s="3"/>
      <c r="N256" s="3"/>
      <c r="O256" s="3"/>
      <c r="P256" s="3"/>
      <c r="Q256" s="3"/>
      <c r="R256" s="3"/>
      <c r="S256" s="3"/>
    </row>
    <row r="257" spans="1:19" ht="39" x14ac:dyDescent="0.25">
      <c r="A257" s="1">
        <v>40852</v>
      </c>
      <c r="B257" s="1">
        <v>40853</v>
      </c>
      <c r="C257" s="2">
        <f t="shared" ref="C257:C320" si="4">(B257-A257)+1</f>
        <v>2</v>
      </c>
      <c r="D257" s="6" t="s">
        <v>1802</v>
      </c>
      <c r="E257" s="3" t="s">
        <v>1803</v>
      </c>
      <c r="F257" s="4" t="s">
        <v>58</v>
      </c>
      <c r="G257" s="3" t="s">
        <v>529</v>
      </c>
      <c r="H257" s="3"/>
      <c r="I257" s="3" t="s">
        <v>530</v>
      </c>
      <c r="J257" s="3" t="s">
        <v>61</v>
      </c>
      <c r="K257" s="3"/>
      <c r="L257" s="3"/>
      <c r="M257" s="3"/>
      <c r="N257" s="3"/>
      <c r="O257" s="3"/>
      <c r="P257" s="3"/>
      <c r="Q257" s="3"/>
      <c r="R257" s="3"/>
      <c r="S257" s="3"/>
    </row>
    <row r="258" spans="1:19" ht="39" x14ac:dyDescent="0.25">
      <c r="A258" s="1">
        <v>40852</v>
      </c>
      <c r="B258" s="1">
        <v>40853</v>
      </c>
      <c r="C258" s="2">
        <f t="shared" si="4"/>
        <v>2</v>
      </c>
      <c r="D258" s="6" t="s">
        <v>1804</v>
      </c>
      <c r="E258" s="3" t="s">
        <v>1805</v>
      </c>
      <c r="F258" s="4" t="s">
        <v>58</v>
      </c>
      <c r="G258" s="3" t="s">
        <v>1806</v>
      </c>
      <c r="H258" s="3"/>
      <c r="I258" s="3" t="s">
        <v>927</v>
      </c>
      <c r="J258" s="3" t="s">
        <v>61</v>
      </c>
      <c r="K258" s="3"/>
      <c r="L258" s="3"/>
      <c r="M258" s="3"/>
      <c r="N258" s="3"/>
      <c r="O258" s="3"/>
      <c r="P258" s="3"/>
      <c r="Q258" s="3"/>
      <c r="R258" s="3"/>
      <c r="S258" s="3"/>
    </row>
    <row r="259" spans="1:19" ht="26.25" x14ac:dyDescent="0.25">
      <c r="A259" s="1">
        <v>40858</v>
      </c>
      <c r="B259" s="1">
        <v>40859</v>
      </c>
      <c r="C259" s="2">
        <f t="shared" si="4"/>
        <v>2</v>
      </c>
      <c r="D259" s="6" t="s">
        <v>1903</v>
      </c>
      <c r="E259" s="3" t="s">
        <v>897</v>
      </c>
      <c r="F259" s="4" t="s">
        <v>58</v>
      </c>
      <c r="G259" s="3" t="s">
        <v>297</v>
      </c>
      <c r="H259" s="3"/>
      <c r="I259" s="3" t="s">
        <v>60</v>
      </c>
      <c r="J259" s="3" t="s">
        <v>61</v>
      </c>
      <c r="K259" s="3"/>
      <c r="L259" s="3"/>
      <c r="M259" s="3"/>
      <c r="N259" s="3"/>
      <c r="O259" s="3"/>
      <c r="P259" s="3"/>
      <c r="Q259" s="3"/>
      <c r="R259" s="3"/>
      <c r="S259" s="3"/>
    </row>
    <row r="260" spans="1:19" ht="26.25" x14ac:dyDescent="0.25">
      <c r="A260" s="1">
        <v>40858</v>
      </c>
      <c r="B260" s="1">
        <v>40859</v>
      </c>
      <c r="C260" s="2">
        <f t="shared" si="4"/>
        <v>2</v>
      </c>
      <c r="D260" s="6" t="s">
        <v>1903</v>
      </c>
      <c r="E260" s="3" t="s">
        <v>897</v>
      </c>
      <c r="F260" s="4" t="s">
        <v>58</v>
      </c>
      <c r="G260" s="3" t="s">
        <v>297</v>
      </c>
      <c r="H260" s="3"/>
      <c r="I260" s="3" t="s">
        <v>60</v>
      </c>
      <c r="J260" s="3" t="s">
        <v>61</v>
      </c>
      <c r="K260" s="3"/>
      <c r="L260" s="3"/>
      <c r="M260" s="3"/>
      <c r="N260" s="3"/>
      <c r="O260" s="3"/>
      <c r="P260" s="3"/>
      <c r="Q260" s="3"/>
      <c r="R260" s="3"/>
      <c r="S260" s="3"/>
    </row>
    <row r="261" spans="1:19" ht="26.25" x14ac:dyDescent="0.25">
      <c r="A261" s="1">
        <v>40858</v>
      </c>
      <c r="B261" s="1">
        <v>40859</v>
      </c>
      <c r="C261" s="2">
        <f t="shared" si="4"/>
        <v>2</v>
      </c>
      <c r="D261" s="6" t="s">
        <v>1904</v>
      </c>
      <c r="E261" s="3" t="s">
        <v>1905</v>
      </c>
      <c r="F261" s="5" t="s">
        <v>58</v>
      </c>
      <c r="G261" s="3" t="s">
        <v>1906</v>
      </c>
      <c r="H261" s="3"/>
      <c r="I261" s="3" t="s">
        <v>210</v>
      </c>
      <c r="J261" s="3" t="s">
        <v>61</v>
      </c>
      <c r="K261" s="3"/>
      <c r="L261" s="3"/>
      <c r="M261" s="3"/>
      <c r="N261" s="3"/>
      <c r="O261" s="3"/>
      <c r="P261" s="3"/>
      <c r="Q261" s="3"/>
      <c r="R261" s="3"/>
      <c r="S261" s="3"/>
    </row>
    <row r="262" spans="1:19" ht="26.25" x14ac:dyDescent="0.25">
      <c r="A262" s="1">
        <v>40858</v>
      </c>
      <c r="B262" s="1">
        <v>40859</v>
      </c>
      <c r="C262" s="2">
        <f t="shared" si="4"/>
        <v>2</v>
      </c>
      <c r="D262" s="6" t="s">
        <v>1910</v>
      </c>
      <c r="E262" s="3" t="s">
        <v>1911</v>
      </c>
      <c r="F262" s="4" t="s">
        <v>58</v>
      </c>
      <c r="G262" s="3" t="s">
        <v>810</v>
      </c>
      <c r="H262" s="3" t="s">
        <v>811</v>
      </c>
      <c r="I262" s="3" t="s">
        <v>60</v>
      </c>
      <c r="J262" s="3" t="s">
        <v>61</v>
      </c>
      <c r="K262" s="3"/>
      <c r="L262" s="3"/>
      <c r="M262" s="3"/>
      <c r="N262" s="3"/>
      <c r="O262" s="3"/>
      <c r="P262" s="3"/>
      <c r="Q262" s="3"/>
      <c r="R262" s="3"/>
      <c r="S262" s="3"/>
    </row>
    <row r="263" spans="1:19" ht="39" x14ac:dyDescent="0.25">
      <c r="A263" s="1">
        <v>40865</v>
      </c>
      <c r="B263" s="1">
        <v>40866</v>
      </c>
      <c r="C263" s="2">
        <f t="shared" si="4"/>
        <v>2</v>
      </c>
      <c r="D263" s="6" t="s">
        <v>1980</v>
      </c>
      <c r="E263" s="3" t="s">
        <v>1980</v>
      </c>
      <c r="F263" s="4" t="s">
        <v>58</v>
      </c>
      <c r="G263" s="3" t="s">
        <v>810</v>
      </c>
      <c r="H263" s="3" t="s">
        <v>811</v>
      </c>
      <c r="I263" s="3" t="s">
        <v>60</v>
      </c>
      <c r="J263" s="3" t="s">
        <v>61</v>
      </c>
      <c r="K263" s="3"/>
      <c r="L263" s="3"/>
      <c r="M263" s="3"/>
      <c r="N263" s="3"/>
      <c r="O263" s="3"/>
      <c r="P263" s="3"/>
      <c r="Q263" s="3"/>
      <c r="R263" s="3"/>
      <c r="S263" s="3"/>
    </row>
    <row r="264" spans="1:19" ht="39" x14ac:dyDescent="0.25">
      <c r="A264" s="1">
        <v>40866</v>
      </c>
      <c r="B264" s="1">
        <v>40867</v>
      </c>
      <c r="C264" s="2">
        <f t="shared" si="4"/>
        <v>2</v>
      </c>
      <c r="D264" s="6" t="s">
        <v>2039</v>
      </c>
      <c r="E264" s="3" t="s">
        <v>2040</v>
      </c>
      <c r="F264" s="4" t="s">
        <v>58</v>
      </c>
      <c r="G264" s="3" t="s">
        <v>2041</v>
      </c>
      <c r="H264" s="3"/>
      <c r="I264" s="3" t="s">
        <v>558</v>
      </c>
      <c r="J264" s="3" t="s">
        <v>61</v>
      </c>
      <c r="K264" s="3"/>
      <c r="L264" s="3"/>
      <c r="M264" s="3"/>
      <c r="N264" s="3"/>
      <c r="O264" s="3"/>
      <c r="P264" s="3"/>
      <c r="Q264" s="3"/>
      <c r="R264" s="3"/>
      <c r="S264" s="3"/>
    </row>
    <row r="265" spans="1:19" ht="26.25" x14ac:dyDescent="0.25">
      <c r="A265" s="1">
        <v>40872</v>
      </c>
      <c r="B265" s="1">
        <v>40873</v>
      </c>
      <c r="C265" s="2">
        <f t="shared" si="4"/>
        <v>2</v>
      </c>
      <c r="D265" s="6" t="s">
        <v>1910</v>
      </c>
      <c r="E265" s="3" t="s">
        <v>1910</v>
      </c>
      <c r="F265" s="4" t="s">
        <v>58</v>
      </c>
      <c r="G265" s="3" t="s">
        <v>811</v>
      </c>
      <c r="H265" s="3" t="s">
        <v>810</v>
      </c>
      <c r="I265" s="3" t="s">
        <v>60</v>
      </c>
      <c r="J265" s="3" t="s">
        <v>61</v>
      </c>
      <c r="K265" s="3"/>
      <c r="L265" s="3"/>
      <c r="M265" s="3"/>
      <c r="N265" s="3"/>
      <c r="O265" s="3"/>
      <c r="P265" s="3"/>
      <c r="Q265" s="3"/>
      <c r="R265" s="3"/>
      <c r="S265" s="3"/>
    </row>
    <row r="266" spans="1:19" ht="26.25" x14ac:dyDescent="0.25">
      <c r="A266" s="1">
        <v>40879</v>
      </c>
      <c r="B266" s="1">
        <v>40880</v>
      </c>
      <c r="C266" s="2">
        <f t="shared" si="4"/>
        <v>2</v>
      </c>
      <c r="D266" s="6" t="s">
        <v>2281</v>
      </c>
      <c r="E266" s="3" t="s">
        <v>2282</v>
      </c>
      <c r="F266" s="4" t="s">
        <v>58</v>
      </c>
      <c r="G266" s="3" t="s">
        <v>781</v>
      </c>
      <c r="H266" s="3" t="s">
        <v>782</v>
      </c>
      <c r="I266" s="3" t="s">
        <v>236</v>
      </c>
      <c r="J266" s="3" t="s">
        <v>61</v>
      </c>
      <c r="K266" s="3"/>
      <c r="L266" s="3"/>
      <c r="M266" s="3"/>
      <c r="N266" s="3"/>
      <c r="O266" s="3"/>
      <c r="P266" s="3"/>
      <c r="Q266" s="3"/>
      <c r="R266" s="3"/>
      <c r="S266" s="3"/>
    </row>
    <row r="267" spans="1:19" ht="51.75" x14ac:dyDescent="0.25">
      <c r="A267" s="1">
        <v>40879</v>
      </c>
      <c r="B267" s="1">
        <v>40880</v>
      </c>
      <c r="C267" s="2">
        <f t="shared" si="4"/>
        <v>2</v>
      </c>
      <c r="D267" s="6" t="s">
        <v>1749</v>
      </c>
      <c r="E267" s="3" t="s">
        <v>2283</v>
      </c>
      <c r="F267" s="4" t="s">
        <v>58</v>
      </c>
      <c r="G267" s="3" t="s">
        <v>2284</v>
      </c>
      <c r="H267" s="3" t="s">
        <v>2285</v>
      </c>
      <c r="I267" s="3" t="s">
        <v>865</v>
      </c>
      <c r="J267" s="3" t="s">
        <v>61</v>
      </c>
      <c r="K267" s="3"/>
      <c r="L267" s="3"/>
      <c r="M267" s="3"/>
      <c r="N267" s="3"/>
      <c r="O267" s="3"/>
      <c r="P267" s="3"/>
      <c r="Q267" s="3"/>
      <c r="R267" s="3"/>
      <c r="S267" s="3"/>
    </row>
    <row r="268" spans="1:19" ht="51.75" x14ac:dyDescent="0.25">
      <c r="A268" s="1">
        <v>40879</v>
      </c>
      <c r="B268" s="1">
        <v>40880</v>
      </c>
      <c r="C268" s="2">
        <f t="shared" si="4"/>
        <v>2</v>
      </c>
      <c r="D268" s="6" t="s">
        <v>2286</v>
      </c>
      <c r="E268" s="3" t="s">
        <v>2287</v>
      </c>
      <c r="F268" s="4" t="s">
        <v>58</v>
      </c>
      <c r="G268" s="3" t="s">
        <v>2288</v>
      </c>
      <c r="H268" s="3" t="s">
        <v>2289</v>
      </c>
      <c r="I268" s="3" t="s">
        <v>797</v>
      </c>
      <c r="J268" s="3" t="s">
        <v>61</v>
      </c>
      <c r="K268" s="3"/>
      <c r="L268" s="3"/>
      <c r="M268" s="3"/>
      <c r="N268" s="3"/>
      <c r="O268" s="3"/>
      <c r="P268" s="3"/>
      <c r="Q268" s="3"/>
      <c r="R268" s="3"/>
      <c r="S268" s="3"/>
    </row>
    <row r="269" spans="1:19" ht="51.75" x14ac:dyDescent="0.25">
      <c r="A269" s="1">
        <v>40879</v>
      </c>
      <c r="B269" s="1">
        <v>40880</v>
      </c>
      <c r="C269" s="2">
        <f t="shared" si="4"/>
        <v>2</v>
      </c>
      <c r="D269" s="6" t="s">
        <v>2293</v>
      </c>
      <c r="E269" s="3" t="s">
        <v>847</v>
      </c>
      <c r="F269" s="4" t="s">
        <v>58</v>
      </c>
      <c r="G269" s="3" t="s">
        <v>848</v>
      </c>
      <c r="H269" s="3"/>
      <c r="I269" s="3" t="s">
        <v>71</v>
      </c>
      <c r="J269" s="3" t="s">
        <v>61</v>
      </c>
      <c r="K269" s="3"/>
      <c r="L269" s="3"/>
      <c r="M269" s="3"/>
      <c r="N269" s="3"/>
      <c r="O269" s="3"/>
      <c r="P269" s="3"/>
      <c r="Q269" s="3"/>
      <c r="R269" s="3"/>
      <c r="S269" s="3"/>
    </row>
    <row r="270" spans="1:19" ht="51.75" x14ac:dyDescent="0.25">
      <c r="A270" s="1">
        <v>40880</v>
      </c>
      <c r="B270" s="1">
        <v>40881</v>
      </c>
      <c r="C270" s="2">
        <f t="shared" si="4"/>
        <v>2</v>
      </c>
      <c r="D270" s="6" t="s">
        <v>2458</v>
      </c>
      <c r="E270" s="3" t="s">
        <v>2459</v>
      </c>
      <c r="F270" s="4" t="s">
        <v>58</v>
      </c>
      <c r="G270" s="3" t="s">
        <v>2460</v>
      </c>
      <c r="H270" s="3"/>
      <c r="I270" s="3" t="s">
        <v>2461</v>
      </c>
      <c r="J270" s="3" t="s">
        <v>61</v>
      </c>
      <c r="K270" s="3"/>
      <c r="L270" s="3"/>
      <c r="M270" s="3"/>
      <c r="N270" s="3"/>
      <c r="O270" s="3"/>
      <c r="P270" s="3"/>
      <c r="Q270" s="3"/>
      <c r="R270" s="3"/>
      <c r="S270" s="3"/>
    </row>
    <row r="271" spans="1:19" ht="51.75" x14ac:dyDescent="0.25">
      <c r="A271" s="1">
        <v>40880</v>
      </c>
      <c r="B271" s="1">
        <v>40881</v>
      </c>
      <c r="C271" s="2">
        <f t="shared" si="4"/>
        <v>2</v>
      </c>
      <c r="D271" s="6" t="s">
        <v>2464</v>
      </c>
      <c r="E271" s="3" t="s">
        <v>2465</v>
      </c>
      <c r="F271" s="4" t="s">
        <v>58</v>
      </c>
      <c r="G271" s="3" t="s">
        <v>2466</v>
      </c>
      <c r="H271" s="3"/>
      <c r="I271" s="3" t="s">
        <v>1021</v>
      </c>
      <c r="J271" s="3" t="s">
        <v>61</v>
      </c>
      <c r="K271" s="3"/>
      <c r="L271" s="3"/>
      <c r="M271" s="3"/>
      <c r="N271" s="3"/>
      <c r="O271" s="3"/>
      <c r="P271" s="3"/>
      <c r="Q271" s="3"/>
      <c r="R271" s="3"/>
      <c r="S271" s="3"/>
    </row>
    <row r="272" spans="1:19" ht="26.25" x14ac:dyDescent="0.25">
      <c r="A272" s="1">
        <v>40880</v>
      </c>
      <c r="B272" s="1">
        <v>40881</v>
      </c>
      <c r="C272" s="2">
        <f t="shared" si="4"/>
        <v>2</v>
      </c>
      <c r="D272" s="6" t="s">
        <v>2468</v>
      </c>
      <c r="E272" s="3" t="s">
        <v>2469</v>
      </c>
      <c r="F272" s="4" t="s">
        <v>58</v>
      </c>
      <c r="G272" s="3" t="s">
        <v>2278</v>
      </c>
      <c r="H272" s="3" t="s">
        <v>2279</v>
      </c>
      <c r="I272" s="3" t="s">
        <v>797</v>
      </c>
      <c r="J272" s="3" t="s">
        <v>61</v>
      </c>
      <c r="K272" s="3"/>
      <c r="L272" s="3"/>
      <c r="M272" s="3"/>
      <c r="N272" s="3"/>
      <c r="O272" s="3"/>
      <c r="P272" s="3"/>
      <c r="Q272" s="3"/>
      <c r="R272" s="3"/>
      <c r="S272" s="3"/>
    </row>
    <row r="273" spans="1:19" ht="39" x14ac:dyDescent="0.25">
      <c r="A273" s="1">
        <v>40880</v>
      </c>
      <c r="B273" s="1">
        <v>40881</v>
      </c>
      <c r="C273" s="2">
        <f t="shared" si="4"/>
        <v>2</v>
      </c>
      <c r="D273" s="6" t="s">
        <v>2470</v>
      </c>
      <c r="E273" s="3" t="s">
        <v>2471</v>
      </c>
      <c r="F273" s="5" t="s">
        <v>58</v>
      </c>
      <c r="G273" s="3" t="s">
        <v>2472</v>
      </c>
      <c r="H273" s="3" t="s">
        <v>1628</v>
      </c>
      <c r="I273" s="3" t="s">
        <v>227</v>
      </c>
      <c r="J273" s="3" t="s">
        <v>61</v>
      </c>
      <c r="K273" s="3"/>
      <c r="L273" s="3"/>
      <c r="M273" s="3"/>
      <c r="N273" s="3"/>
      <c r="O273" s="3"/>
      <c r="P273" s="3"/>
      <c r="Q273" s="3"/>
      <c r="R273" s="3"/>
      <c r="S273" s="3"/>
    </row>
    <row r="274" spans="1:19" ht="39" x14ac:dyDescent="0.25">
      <c r="A274" s="1">
        <v>40880</v>
      </c>
      <c r="B274" s="1">
        <v>40881</v>
      </c>
      <c r="C274" s="2">
        <f t="shared" si="4"/>
        <v>2</v>
      </c>
      <c r="D274" s="6" t="s">
        <v>2474</v>
      </c>
      <c r="E274" s="3" t="s">
        <v>2475</v>
      </c>
      <c r="F274" s="4" t="s">
        <v>58</v>
      </c>
      <c r="G274" s="3" t="s">
        <v>2476</v>
      </c>
      <c r="H274" s="3"/>
      <c r="I274" s="3" t="s">
        <v>165</v>
      </c>
      <c r="J274" s="3" t="s">
        <v>61</v>
      </c>
      <c r="K274" s="3"/>
      <c r="L274" s="3"/>
      <c r="M274" s="3"/>
      <c r="N274" s="3"/>
      <c r="O274" s="3"/>
      <c r="P274" s="3"/>
      <c r="Q274" s="3"/>
      <c r="R274" s="3"/>
      <c r="S274" s="3"/>
    </row>
    <row r="275" spans="1:19" ht="51.75" x14ac:dyDescent="0.25">
      <c r="A275" s="1">
        <v>40886</v>
      </c>
      <c r="B275" s="1">
        <v>40887</v>
      </c>
      <c r="C275" s="2">
        <f t="shared" si="4"/>
        <v>2</v>
      </c>
      <c r="D275" s="6" t="s">
        <v>2293</v>
      </c>
      <c r="E275" s="3" t="s">
        <v>847</v>
      </c>
      <c r="F275" s="4" t="s">
        <v>58</v>
      </c>
      <c r="G275" s="3" t="s">
        <v>848</v>
      </c>
      <c r="H275" s="3"/>
      <c r="I275" s="3" t="s">
        <v>71</v>
      </c>
      <c r="J275" s="3" t="s">
        <v>61</v>
      </c>
      <c r="K275" s="3"/>
      <c r="L275" s="3"/>
      <c r="M275" s="3"/>
      <c r="N275" s="3"/>
      <c r="O275" s="3"/>
      <c r="P275" s="3"/>
      <c r="Q275" s="3"/>
      <c r="R275" s="3"/>
      <c r="S275" s="3"/>
    </row>
    <row r="276" spans="1:19" ht="39" x14ac:dyDescent="0.25">
      <c r="A276" s="1">
        <v>40886</v>
      </c>
      <c r="B276" s="1">
        <v>40887</v>
      </c>
      <c r="C276" s="2">
        <f t="shared" si="4"/>
        <v>2</v>
      </c>
      <c r="D276" s="6" t="s">
        <v>909</v>
      </c>
      <c r="E276" s="3" t="s">
        <v>1911</v>
      </c>
      <c r="F276" s="4" t="s">
        <v>58</v>
      </c>
      <c r="G276" s="3" t="s">
        <v>810</v>
      </c>
      <c r="H276" s="3" t="s">
        <v>811</v>
      </c>
      <c r="I276" s="3" t="s">
        <v>60</v>
      </c>
      <c r="J276" s="3" t="s">
        <v>61</v>
      </c>
      <c r="K276" s="3"/>
      <c r="L276" s="3"/>
      <c r="M276" s="3"/>
      <c r="N276" s="3"/>
      <c r="O276" s="3"/>
      <c r="P276" s="3"/>
      <c r="Q276" s="3"/>
      <c r="R276" s="3"/>
      <c r="S276" s="3"/>
    </row>
    <row r="277" spans="1:19" ht="51.75" x14ac:dyDescent="0.25">
      <c r="A277" s="1">
        <v>40887</v>
      </c>
      <c r="B277" s="1">
        <v>40888</v>
      </c>
      <c r="C277" s="2">
        <f t="shared" si="4"/>
        <v>2</v>
      </c>
      <c r="D277" s="6" t="s">
        <v>2607</v>
      </c>
      <c r="E277" s="3" t="s">
        <v>2608</v>
      </c>
      <c r="F277" s="4" t="s">
        <v>58</v>
      </c>
      <c r="G277" s="3" t="s">
        <v>2609</v>
      </c>
      <c r="H277" s="3" t="s">
        <v>2610</v>
      </c>
      <c r="I277" s="3" t="s">
        <v>245</v>
      </c>
      <c r="J277" s="3" t="s">
        <v>61</v>
      </c>
      <c r="K277" s="3"/>
      <c r="L277" s="3"/>
      <c r="M277" s="3"/>
      <c r="N277" s="3"/>
      <c r="O277" s="3"/>
      <c r="P277" s="3"/>
      <c r="Q277" s="3"/>
      <c r="R277" s="3"/>
      <c r="S277" s="3"/>
    </row>
    <row r="278" spans="1:19" ht="39" x14ac:dyDescent="0.25">
      <c r="A278" s="1">
        <v>40893</v>
      </c>
      <c r="B278" s="1">
        <v>40894</v>
      </c>
      <c r="C278" s="2">
        <f t="shared" si="4"/>
        <v>2</v>
      </c>
      <c r="D278" s="6" t="s">
        <v>898</v>
      </c>
      <c r="E278" s="3" t="s">
        <v>899</v>
      </c>
      <c r="F278" s="4" t="s">
        <v>58</v>
      </c>
      <c r="G278" s="3" t="s">
        <v>900</v>
      </c>
      <c r="H278" s="3" t="s">
        <v>901</v>
      </c>
      <c r="I278" s="3" t="s">
        <v>245</v>
      </c>
      <c r="J278" s="3" t="s">
        <v>61</v>
      </c>
      <c r="K278" s="3"/>
      <c r="L278" s="3"/>
      <c r="M278" s="3"/>
      <c r="N278" s="3"/>
      <c r="O278" s="3"/>
      <c r="P278" s="3"/>
      <c r="Q278" s="3"/>
      <c r="R278" s="3"/>
      <c r="S278" s="3"/>
    </row>
    <row r="279" spans="1:19" ht="26.25" x14ac:dyDescent="0.25">
      <c r="A279" s="1">
        <v>40893</v>
      </c>
      <c r="B279" s="1">
        <v>40894</v>
      </c>
      <c r="C279" s="2">
        <f t="shared" si="4"/>
        <v>2</v>
      </c>
      <c r="D279" s="6" t="s">
        <v>2643</v>
      </c>
      <c r="E279" s="3" t="s">
        <v>2644</v>
      </c>
      <c r="F279" s="4" t="s">
        <v>58</v>
      </c>
      <c r="G279" s="3" t="s">
        <v>810</v>
      </c>
      <c r="H279" s="3" t="s">
        <v>811</v>
      </c>
      <c r="I279" s="3" t="s">
        <v>60</v>
      </c>
      <c r="J279" s="3" t="s">
        <v>61</v>
      </c>
      <c r="K279" s="3"/>
      <c r="L279" s="3"/>
      <c r="M279" s="3"/>
      <c r="N279" s="3"/>
      <c r="O279" s="3"/>
      <c r="P279" s="3"/>
      <c r="Q279" s="3"/>
      <c r="R279" s="3"/>
      <c r="S279" s="3"/>
    </row>
    <row r="280" spans="1:19" ht="77.25" x14ac:dyDescent="0.25">
      <c r="A280" s="1">
        <v>40894</v>
      </c>
      <c r="B280" s="1">
        <v>40895</v>
      </c>
      <c r="C280" s="2">
        <f t="shared" si="4"/>
        <v>2</v>
      </c>
      <c r="D280" s="6" t="s">
        <v>2654</v>
      </c>
      <c r="E280" s="3" t="s">
        <v>2655</v>
      </c>
      <c r="F280" s="4" t="s">
        <v>58</v>
      </c>
      <c r="G280" s="3" t="s">
        <v>2656</v>
      </c>
      <c r="H280" s="3"/>
      <c r="I280" s="3" t="s">
        <v>2226</v>
      </c>
      <c r="J280" s="3" t="s">
        <v>61</v>
      </c>
      <c r="K280" s="3"/>
      <c r="L280" s="3"/>
      <c r="M280" s="3"/>
      <c r="N280" s="3"/>
      <c r="O280" s="3"/>
      <c r="P280" s="3"/>
      <c r="Q280" s="3"/>
      <c r="R280" s="3"/>
      <c r="S280" s="3"/>
    </row>
    <row r="281" spans="1:19" ht="39" x14ac:dyDescent="0.25">
      <c r="A281" s="1">
        <v>40907</v>
      </c>
      <c r="B281" s="1">
        <v>40908</v>
      </c>
      <c r="C281" s="2">
        <f t="shared" si="4"/>
        <v>2</v>
      </c>
      <c r="D281" s="6" t="s">
        <v>1980</v>
      </c>
      <c r="E281" s="3" t="s">
        <v>2672</v>
      </c>
      <c r="F281" s="4" t="s">
        <v>58</v>
      </c>
      <c r="G281" s="3" t="s">
        <v>810</v>
      </c>
      <c r="H281" s="3" t="s">
        <v>811</v>
      </c>
      <c r="I281" s="3" t="s">
        <v>60</v>
      </c>
      <c r="J281" s="3" t="s">
        <v>61</v>
      </c>
      <c r="K281" s="3"/>
      <c r="L281" s="3"/>
      <c r="M281" s="3"/>
      <c r="N281" s="3"/>
      <c r="O281" s="3"/>
      <c r="P281" s="3"/>
      <c r="Q281" s="3"/>
      <c r="R281" s="3"/>
      <c r="S281" s="3"/>
    </row>
    <row r="282" spans="1:19" ht="64.5" x14ac:dyDescent="0.25">
      <c r="A282" s="1">
        <v>40908</v>
      </c>
      <c r="B282" s="1">
        <v>40909</v>
      </c>
      <c r="C282" s="2">
        <f t="shared" si="4"/>
        <v>2</v>
      </c>
      <c r="D282" s="6" t="s">
        <v>2684</v>
      </c>
      <c r="E282" s="3" t="s">
        <v>2685</v>
      </c>
      <c r="F282" s="4" t="s">
        <v>58</v>
      </c>
      <c r="G282" s="3" t="s">
        <v>887</v>
      </c>
      <c r="H282" s="3"/>
      <c r="I282" s="3" t="s">
        <v>888</v>
      </c>
      <c r="J282" s="3" t="s">
        <v>61</v>
      </c>
      <c r="K282" s="3"/>
      <c r="L282" s="3"/>
      <c r="M282" s="3"/>
      <c r="N282" s="3"/>
      <c r="O282" s="3"/>
      <c r="P282" s="3"/>
      <c r="Q282" s="3"/>
      <c r="R282" s="3"/>
      <c r="S282" s="3"/>
    </row>
    <row r="283" spans="1:19" ht="26.25" x14ac:dyDescent="0.25">
      <c r="A283" s="1">
        <v>40914</v>
      </c>
      <c r="B283" s="1">
        <v>40915</v>
      </c>
      <c r="C283" s="2">
        <f t="shared" si="4"/>
        <v>2</v>
      </c>
      <c r="D283" s="6" t="s">
        <v>2686</v>
      </c>
      <c r="E283" s="3" t="s">
        <v>2687</v>
      </c>
      <c r="F283" s="4" t="s">
        <v>58</v>
      </c>
      <c r="G283" s="3" t="s">
        <v>810</v>
      </c>
      <c r="H283" s="3" t="s">
        <v>811</v>
      </c>
      <c r="I283" s="3" t="s">
        <v>60</v>
      </c>
      <c r="J283" s="3" t="s">
        <v>61</v>
      </c>
      <c r="K283" s="3"/>
      <c r="L283" s="3"/>
      <c r="M283" s="3"/>
      <c r="N283" s="3"/>
      <c r="O283" s="3"/>
      <c r="P283" s="3"/>
      <c r="Q283" s="3"/>
      <c r="R283" s="3"/>
      <c r="S283" s="3"/>
    </row>
    <row r="284" spans="1:19" ht="64.5" x14ac:dyDescent="0.25">
      <c r="A284" s="1">
        <v>40915</v>
      </c>
      <c r="B284" s="1">
        <v>40916</v>
      </c>
      <c r="C284" s="2">
        <f t="shared" si="4"/>
        <v>2</v>
      </c>
      <c r="D284" s="6" t="s">
        <v>1770</v>
      </c>
      <c r="E284" s="3" t="s">
        <v>2688</v>
      </c>
      <c r="F284" s="4" t="s">
        <v>58</v>
      </c>
      <c r="G284" s="3" t="s">
        <v>2689</v>
      </c>
      <c r="H284" s="3" t="s">
        <v>1773</v>
      </c>
      <c r="I284" s="3" t="s">
        <v>1774</v>
      </c>
      <c r="J284" s="3" t="s">
        <v>61</v>
      </c>
      <c r="K284" s="3"/>
      <c r="L284" s="3"/>
      <c r="M284" s="3"/>
      <c r="N284" s="3"/>
      <c r="O284" s="3"/>
      <c r="P284" s="3"/>
      <c r="Q284" s="3"/>
      <c r="R284" s="3"/>
      <c r="S284" s="3"/>
    </row>
    <row r="285" spans="1:19" ht="51.75" x14ac:dyDescent="0.25">
      <c r="A285" s="1">
        <v>40928</v>
      </c>
      <c r="B285" s="1">
        <v>40929</v>
      </c>
      <c r="C285" s="2">
        <f t="shared" si="4"/>
        <v>2</v>
      </c>
      <c r="D285" s="6" t="s">
        <v>2724</v>
      </c>
      <c r="E285" s="3" t="s">
        <v>2725</v>
      </c>
      <c r="F285" s="4" t="s">
        <v>58</v>
      </c>
      <c r="G285" s="3" t="s">
        <v>1178</v>
      </c>
      <c r="H285" s="3" t="s">
        <v>2726</v>
      </c>
      <c r="I285" s="3" t="s">
        <v>865</v>
      </c>
      <c r="J285" s="3" t="s">
        <v>61</v>
      </c>
      <c r="K285" s="3"/>
      <c r="L285" s="3"/>
      <c r="M285" s="3"/>
      <c r="N285" s="3"/>
      <c r="O285" s="3"/>
      <c r="P285" s="3"/>
      <c r="Q285" s="3"/>
      <c r="R285" s="3"/>
      <c r="S285" s="3"/>
    </row>
    <row r="286" spans="1:19" ht="26.25" x14ac:dyDescent="0.25">
      <c r="A286" s="1">
        <v>40928</v>
      </c>
      <c r="B286" s="1">
        <v>40929</v>
      </c>
      <c r="C286" s="2">
        <f t="shared" si="4"/>
        <v>2</v>
      </c>
      <c r="D286" s="6" t="s">
        <v>2727</v>
      </c>
      <c r="E286" s="3" t="s">
        <v>2728</v>
      </c>
      <c r="F286" s="4" t="s">
        <v>58</v>
      </c>
      <c r="G286" s="3" t="s">
        <v>810</v>
      </c>
      <c r="H286" s="3" t="s">
        <v>811</v>
      </c>
      <c r="I286" s="3" t="s">
        <v>60</v>
      </c>
      <c r="J286" s="3" t="s">
        <v>61</v>
      </c>
      <c r="K286" s="3"/>
      <c r="L286" s="3"/>
      <c r="M286" s="3"/>
      <c r="N286" s="3"/>
      <c r="O286" s="3"/>
      <c r="P286" s="3"/>
      <c r="Q286" s="3"/>
      <c r="R286" s="3"/>
      <c r="S286" s="3"/>
    </row>
    <row r="287" spans="1:19" ht="39" x14ac:dyDescent="0.25">
      <c r="A287" s="1">
        <v>40935</v>
      </c>
      <c r="B287" s="1">
        <v>40936</v>
      </c>
      <c r="C287" s="2">
        <f t="shared" si="4"/>
        <v>2</v>
      </c>
      <c r="D287" s="6" t="s">
        <v>2739</v>
      </c>
      <c r="E287" s="3" t="s">
        <v>2740</v>
      </c>
      <c r="F287" s="4" t="s">
        <v>58</v>
      </c>
      <c r="G287" s="3" t="s">
        <v>810</v>
      </c>
      <c r="H287" s="3" t="s">
        <v>811</v>
      </c>
      <c r="I287" s="3" t="s">
        <v>60</v>
      </c>
      <c r="J287" s="3" t="s">
        <v>61</v>
      </c>
      <c r="K287" s="3"/>
      <c r="L287" s="3"/>
      <c r="M287" s="3"/>
      <c r="N287" s="3"/>
      <c r="O287" s="3"/>
      <c r="P287" s="3"/>
      <c r="Q287" s="3"/>
      <c r="R287" s="3"/>
      <c r="S287" s="3"/>
    </row>
    <row r="288" spans="1:19" ht="39" x14ac:dyDescent="0.25">
      <c r="A288" s="1">
        <v>40941</v>
      </c>
      <c r="B288" s="1">
        <v>40942</v>
      </c>
      <c r="C288" s="2">
        <f t="shared" si="4"/>
        <v>2</v>
      </c>
      <c r="D288" s="6" t="s">
        <v>2775</v>
      </c>
      <c r="E288" s="3" t="s">
        <v>2776</v>
      </c>
      <c r="F288" s="4" t="s">
        <v>58</v>
      </c>
      <c r="G288" s="3" t="s">
        <v>810</v>
      </c>
      <c r="H288" s="3" t="s">
        <v>811</v>
      </c>
      <c r="I288" s="3" t="s">
        <v>60</v>
      </c>
      <c r="J288" s="3" t="s">
        <v>61</v>
      </c>
      <c r="K288" s="3"/>
      <c r="L288" s="3"/>
      <c r="M288" s="3"/>
      <c r="N288" s="3"/>
      <c r="O288" s="3"/>
      <c r="P288" s="3"/>
      <c r="Q288" s="3"/>
      <c r="R288" s="3"/>
      <c r="S288" s="3"/>
    </row>
    <row r="289" spans="1:19" ht="26.25" x14ac:dyDescent="0.25">
      <c r="A289" s="1">
        <v>40942</v>
      </c>
      <c r="B289" s="1">
        <v>40943</v>
      </c>
      <c r="C289" s="2">
        <f t="shared" si="4"/>
        <v>2</v>
      </c>
      <c r="D289" s="6" t="s">
        <v>2777</v>
      </c>
      <c r="E289" s="3" t="s">
        <v>2778</v>
      </c>
      <c r="F289" s="5" t="s">
        <v>58</v>
      </c>
      <c r="G289" s="3" t="s">
        <v>2779</v>
      </c>
      <c r="H289" s="3"/>
      <c r="I289" s="3" t="s">
        <v>993</v>
      </c>
      <c r="J289" s="3" t="s">
        <v>61</v>
      </c>
      <c r="K289" s="3"/>
      <c r="L289" s="3"/>
      <c r="M289" s="3"/>
      <c r="N289" s="3"/>
      <c r="O289" s="3"/>
      <c r="P289" s="3"/>
      <c r="Q289" s="3"/>
      <c r="R289" s="3"/>
      <c r="S289" s="3"/>
    </row>
    <row r="290" spans="1:19" ht="51.75" x14ac:dyDescent="0.25">
      <c r="A290" s="1">
        <v>40943</v>
      </c>
      <c r="B290" s="1">
        <v>40944</v>
      </c>
      <c r="C290" s="2">
        <f t="shared" si="4"/>
        <v>2</v>
      </c>
      <c r="D290" s="6" t="s">
        <v>2802</v>
      </c>
      <c r="E290" s="3" t="s">
        <v>2803</v>
      </c>
      <c r="F290" s="4" t="s">
        <v>58</v>
      </c>
      <c r="G290" s="3" t="s">
        <v>1772</v>
      </c>
      <c r="H290" s="3" t="s">
        <v>1773</v>
      </c>
      <c r="I290" s="3" t="s">
        <v>1774</v>
      </c>
      <c r="J290" s="3" t="s">
        <v>61</v>
      </c>
      <c r="K290" s="3"/>
      <c r="L290" s="3"/>
      <c r="M290" s="3"/>
      <c r="N290" s="3"/>
      <c r="O290" s="3"/>
      <c r="P290" s="3"/>
      <c r="Q290" s="3"/>
      <c r="R290" s="3"/>
      <c r="S290" s="3"/>
    </row>
    <row r="291" spans="1:19" ht="26.25" x14ac:dyDescent="0.25">
      <c r="A291" s="1">
        <v>40949</v>
      </c>
      <c r="B291" s="1">
        <v>40950</v>
      </c>
      <c r="C291" s="2">
        <f t="shared" si="4"/>
        <v>2</v>
      </c>
      <c r="D291" s="6" t="s">
        <v>897</v>
      </c>
      <c r="E291" s="3" t="s">
        <v>897</v>
      </c>
      <c r="F291" s="4" t="s">
        <v>58</v>
      </c>
      <c r="G291" s="3" t="s">
        <v>297</v>
      </c>
      <c r="H291" s="3"/>
      <c r="I291" s="3" t="s">
        <v>60</v>
      </c>
      <c r="J291" s="3" t="s">
        <v>61</v>
      </c>
      <c r="K291" s="3"/>
      <c r="L291" s="3"/>
      <c r="M291" s="3"/>
      <c r="N291" s="3"/>
      <c r="O291" s="3"/>
      <c r="P291" s="3"/>
      <c r="Q291" s="3"/>
      <c r="R291" s="3"/>
      <c r="S291" s="3"/>
    </row>
    <row r="292" spans="1:19" ht="26.25" x14ac:dyDescent="0.25">
      <c r="A292" s="1">
        <v>40950</v>
      </c>
      <c r="B292" s="1">
        <v>40951</v>
      </c>
      <c r="C292" s="2">
        <f t="shared" si="4"/>
        <v>2</v>
      </c>
      <c r="D292" s="6" t="s">
        <v>2833</v>
      </c>
      <c r="E292" s="3" t="s">
        <v>2834</v>
      </c>
      <c r="F292" s="4" t="s">
        <v>58</v>
      </c>
      <c r="G292" s="3" t="s">
        <v>2041</v>
      </c>
      <c r="H292" s="3" t="s">
        <v>2835</v>
      </c>
      <c r="I292" s="3" t="s">
        <v>558</v>
      </c>
      <c r="J292" s="3" t="s">
        <v>61</v>
      </c>
      <c r="K292" s="3"/>
      <c r="L292" s="3"/>
      <c r="M292" s="3"/>
      <c r="N292" s="3"/>
      <c r="O292" s="3"/>
      <c r="P292" s="3"/>
      <c r="Q292" s="3"/>
      <c r="R292" s="3"/>
      <c r="S292" s="3"/>
    </row>
    <row r="293" spans="1:19" ht="51.75" x14ac:dyDescent="0.25">
      <c r="A293" s="1">
        <v>40956</v>
      </c>
      <c r="B293" s="1">
        <v>40957</v>
      </c>
      <c r="C293" s="2">
        <f t="shared" si="4"/>
        <v>2</v>
      </c>
      <c r="D293" s="6" t="s">
        <v>2857</v>
      </c>
      <c r="E293" s="3" t="s">
        <v>2858</v>
      </c>
      <c r="F293" s="4" t="s">
        <v>58</v>
      </c>
      <c r="G293" s="3" t="s">
        <v>2859</v>
      </c>
      <c r="H293" s="3" t="s">
        <v>215</v>
      </c>
      <c r="I293" s="3" t="s">
        <v>1768</v>
      </c>
      <c r="J293" s="3" t="s">
        <v>61</v>
      </c>
      <c r="K293" s="3"/>
      <c r="L293" s="3"/>
      <c r="M293" s="3"/>
      <c r="N293" s="3"/>
      <c r="O293" s="3"/>
      <c r="P293" s="3"/>
      <c r="Q293" s="3"/>
      <c r="R293" s="3"/>
      <c r="S293" s="3"/>
    </row>
    <row r="294" spans="1:19" ht="51.75" x14ac:dyDescent="0.25">
      <c r="A294" s="1">
        <v>40956</v>
      </c>
      <c r="B294" s="1">
        <v>40957</v>
      </c>
      <c r="C294" s="2">
        <f t="shared" si="4"/>
        <v>2</v>
      </c>
      <c r="D294" s="6" t="s">
        <v>2857</v>
      </c>
      <c r="E294" s="3" t="s">
        <v>2863</v>
      </c>
      <c r="F294" s="4" t="s">
        <v>58</v>
      </c>
      <c r="G294" s="3" t="s">
        <v>215</v>
      </c>
      <c r="H294" s="3"/>
      <c r="I294" s="3" t="s">
        <v>1768</v>
      </c>
      <c r="J294" s="3" t="s">
        <v>61</v>
      </c>
      <c r="K294" s="3"/>
      <c r="L294" s="3"/>
      <c r="M294" s="3"/>
      <c r="N294" s="3"/>
      <c r="O294" s="3"/>
      <c r="P294" s="3"/>
      <c r="Q294" s="3"/>
      <c r="R294" s="3"/>
      <c r="S294" s="3"/>
    </row>
    <row r="295" spans="1:19" ht="39" x14ac:dyDescent="0.25">
      <c r="A295" s="1">
        <v>40963</v>
      </c>
      <c r="B295" s="1">
        <v>40964</v>
      </c>
      <c r="C295" s="2">
        <f t="shared" si="4"/>
        <v>2</v>
      </c>
      <c r="D295" s="6" t="s">
        <v>2892</v>
      </c>
      <c r="E295" s="3" t="s">
        <v>2893</v>
      </c>
      <c r="F295" s="4" t="s">
        <v>58</v>
      </c>
      <c r="G295" s="3" t="s">
        <v>551</v>
      </c>
      <c r="H295" s="3" t="s">
        <v>2894</v>
      </c>
      <c r="I295" s="3" t="s">
        <v>60</v>
      </c>
      <c r="J295" s="3" t="s">
        <v>61</v>
      </c>
      <c r="K295" s="3"/>
      <c r="L295" s="3"/>
      <c r="M295" s="3"/>
      <c r="N295" s="3"/>
      <c r="O295" s="3"/>
      <c r="P295" s="3"/>
      <c r="Q295" s="3"/>
      <c r="R295" s="3"/>
      <c r="S295" s="3"/>
    </row>
    <row r="296" spans="1:19" ht="51.75" x14ac:dyDescent="0.25">
      <c r="A296" s="1">
        <v>40963</v>
      </c>
      <c r="B296" s="1">
        <v>40964</v>
      </c>
      <c r="C296" s="2">
        <f t="shared" si="4"/>
        <v>2</v>
      </c>
      <c r="D296" s="6" t="s">
        <v>2897</v>
      </c>
      <c r="E296" s="3" t="s">
        <v>2898</v>
      </c>
      <c r="F296" s="4" t="s">
        <v>58</v>
      </c>
      <c r="G296" s="3" t="s">
        <v>2899</v>
      </c>
      <c r="H296" s="3" t="s">
        <v>2900</v>
      </c>
      <c r="I296" s="3" t="s">
        <v>303</v>
      </c>
      <c r="J296" s="3" t="s">
        <v>61</v>
      </c>
      <c r="K296" s="3"/>
      <c r="L296" s="3"/>
      <c r="M296" s="3"/>
      <c r="N296" s="3"/>
      <c r="O296" s="3"/>
      <c r="P296" s="3"/>
      <c r="Q296" s="3"/>
      <c r="R296" s="3"/>
      <c r="S296" s="3"/>
    </row>
    <row r="297" spans="1:19" ht="51.75" x14ac:dyDescent="0.25">
      <c r="A297" s="1">
        <v>40963</v>
      </c>
      <c r="B297" s="1">
        <v>40964</v>
      </c>
      <c r="C297" s="2">
        <f t="shared" si="4"/>
        <v>2</v>
      </c>
      <c r="D297" s="6" t="s">
        <v>2904</v>
      </c>
      <c r="E297" s="3" t="s">
        <v>2905</v>
      </c>
      <c r="F297" s="4" t="s">
        <v>58</v>
      </c>
      <c r="G297" s="3" t="s">
        <v>1178</v>
      </c>
      <c r="H297" s="3" t="s">
        <v>2726</v>
      </c>
      <c r="I297" s="3" t="s">
        <v>865</v>
      </c>
      <c r="J297" s="3" t="s">
        <v>61</v>
      </c>
      <c r="K297" s="3"/>
      <c r="L297" s="3"/>
      <c r="M297" s="3"/>
      <c r="N297" s="3"/>
      <c r="O297" s="3"/>
      <c r="P297" s="3"/>
      <c r="Q297" s="3"/>
      <c r="R297" s="3"/>
      <c r="S297" s="3"/>
    </row>
    <row r="298" spans="1:19" ht="39" x14ac:dyDescent="0.25">
      <c r="A298" s="1">
        <v>40963</v>
      </c>
      <c r="B298" s="1">
        <v>40964</v>
      </c>
      <c r="C298" s="2">
        <f t="shared" si="4"/>
        <v>2</v>
      </c>
      <c r="D298" s="6" t="s">
        <v>2906</v>
      </c>
      <c r="E298" s="3" t="s">
        <v>2907</v>
      </c>
      <c r="F298" s="4" t="s">
        <v>58</v>
      </c>
      <c r="G298" s="3" t="s">
        <v>804</v>
      </c>
      <c r="H298" s="3" t="s">
        <v>805</v>
      </c>
      <c r="I298" s="3" t="s">
        <v>806</v>
      </c>
      <c r="J298" s="3" t="s">
        <v>61</v>
      </c>
      <c r="K298" s="3"/>
      <c r="L298" s="3"/>
      <c r="M298" s="3"/>
      <c r="N298" s="3"/>
      <c r="O298" s="3"/>
      <c r="P298" s="3"/>
      <c r="Q298" s="3"/>
      <c r="R298" s="3"/>
      <c r="S298" s="3"/>
    </row>
    <row r="299" spans="1:19" ht="39" x14ac:dyDescent="0.25">
      <c r="A299" s="1">
        <v>40964</v>
      </c>
      <c r="B299" s="1">
        <v>40965</v>
      </c>
      <c r="C299" s="2">
        <f t="shared" si="4"/>
        <v>2</v>
      </c>
      <c r="D299" s="6" t="s">
        <v>2916</v>
      </c>
      <c r="E299" s="3" t="s">
        <v>2917</v>
      </c>
      <c r="F299" s="4" t="s">
        <v>58</v>
      </c>
      <c r="G299" s="3" t="s">
        <v>2918</v>
      </c>
      <c r="H299" s="3"/>
      <c r="I299" s="3" t="s">
        <v>2919</v>
      </c>
      <c r="J299" s="3" t="s">
        <v>61</v>
      </c>
      <c r="K299" s="3"/>
      <c r="L299" s="3"/>
      <c r="M299" s="3"/>
      <c r="N299" s="3"/>
      <c r="O299" s="3"/>
      <c r="P299" s="3"/>
      <c r="Q299" s="3"/>
      <c r="R299" s="3"/>
      <c r="S299" s="3"/>
    </row>
    <row r="300" spans="1:19" ht="26.25" x14ac:dyDescent="0.25">
      <c r="A300" s="1">
        <v>40970</v>
      </c>
      <c r="B300" s="1">
        <v>40971</v>
      </c>
      <c r="C300" s="2">
        <f t="shared" si="4"/>
        <v>2</v>
      </c>
      <c r="D300" s="6" t="s">
        <v>2727</v>
      </c>
      <c r="E300" s="3" t="s">
        <v>2727</v>
      </c>
      <c r="F300" s="4" t="s">
        <v>58</v>
      </c>
      <c r="G300" s="3" t="s">
        <v>810</v>
      </c>
      <c r="H300" s="3" t="s">
        <v>811</v>
      </c>
      <c r="I300" s="3" t="s">
        <v>60</v>
      </c>
      <c r="J300" s="3" t="s">
        <v>61</v>
      </c>
      <c r="K300" s="3"/>
      <c r="L300" s="3"/>
      <c r="M300" s="3"/>
      <c r="N300" s="3"/>
      <c r="O300" s="3"/>
      <c r="P300" s="3"/>
      <c r="Q300" s="3"/>
      <c r="R300" s="3"/>
      <c r="S300" s="3"/>
    </row>
    <row r="301" spans="1:19" ht="51.75" x14ac:dyDescent="0.25">
      <c r="A301" s="1">
        <v>40973</v>
      </c>
      <c r="B301" s="1">
        <v>40974</v>
      </c>
      <c r="C301" s="2">
        <f t="shared" si="4"/>
        <v>2</v>
      </c>
      <c r="D301" s="6" t="s">
        <v>2934</v>
      </c>
      <c r="E301" s="3" t="s">
        <v>2935</v>
      </c>
      <c r="F301" s="4" t="s">
        <v>58</v>
      </c>
      <c r="G301" s="3" t="s">
        <v>1178</v>
      </c>
      <c r="H301" s="3" t="s">
        <v>2936</v>
      </c>
      <c r="I301" s="3" t="s">
        <v>865</v>
      </c>
      <c r="J301" s="3" t="s">
        <v>61</v>
      </c>
      <c r="K301" s="3"/>
      <c r="L301" s="3"/>
      <c r="M301" s="3"/>
      <c r="N301" s="3"/>
      <c r="O301" s="3"/>
      <c r="P301" s="3"/>
      <c r="Q301" s="3"/>
      <c r="R301" s="3"/>
      <c r="S301" s="3"/>
    </row>
    <row r="302" spans="1:19" ht="26.25" x14ac:dyDescent="0.25">
      <c r="A302" s="1">
        <v>40984</v>
      </c>
      <c r="B302" s="1">
        <v>40985</v>
      </c>
      <c r="C302" s="2">
        <f t="shared" si="4"/>
        <v>2</v>
      </c>
      <c r="D302" s="6" t="s">
        <v>2686</v>
      </c>
      <c r="E302" s="3" t="s">
        <v>2686</v>
      </c>
      <c r="F302" s="4" t="s">
        <v>58</v>
      </c>
      <c r="G302" s="3" t="s">
        <v>810</v>
      </c>
      <c r="H302" s="3" t="s">
        <v>811</v>
      </c>
      <c r="I302" s="3" t="s">
        <v>60</v>
      </c>
      <c r="J302" s="3" t="s">
        <v>61</v>
      </c>
      <c r="K302" s="3"/>
      <c r="L302" s="3"/>
      <c r="M302" s="3"/>
      <c r="N302" s="3"/>
      <c r="O302" s="3"/>
      <c r="P302" s="3"/>
      <c r="Q302" s="3"/>
      <c r="R302" s="3"/>
      <c r="S302" s="3"/>
    </row>
    <row r="303" spans="1:19" ht="26.25" x14ac:dyDescent="0.25">
      <c r="A303" s="1">
        <v>41005</v>
      </c>
      <c r="B303" s="1">
        <v>41006</v>
      </c>
      <c r="C303" s="2">
        <f t="shared" si="4"/>
        <v>2</v>
      </c>
      <c r="D303" s="6" t="s">
        <v>897</v>
      </c>
      <c r="E303" s="3" t="s">
        <v>897</v>
      </c>
      <c r="F303" s="4" t="s">
        <v>58</v>
      </c>
      <c r="G303" s="3" t="s">
        <v>297</v>
      </c>
      <c r="H303" s="3"/>
      <c r="I303" s="3" t="s">
        <v>60</v>
      </c>
      <c r="J303" s="3" t="s">
        <v>61</v>
      </c>
      <c r="K303" s="3"/>
      <c r="L303" s="3"/>
      <c r="M303" s="3"/>
      <c r="N303" s="3"/>
      <c r="O303" s="3"/>
      <c r="P303" s="3"/>
      <c r="Q303" s="3"/>
      <c r="R303" s="3"/>
      <c r="S303" s="3"/>
    </row>
    <row r="304" spans="1:19" ht="51.75" x14ac:dyDescent="0.25">
      <c r="A304" s="1">
        <v>41020</v>
      </c>
      <c r="B304" s="1">
        <v>41021</v>
      </c>
      <c r="C304" s="2">
        <f t="shared" si="4"/>
        <v>2</v>
      </c>
      <c r="D304" s="6" t="s">
        <v>3096</v>
      </c>
      <c r="E304" s="3" t="s">
        <v>2985</v>
      </c>
      <c r="F304" s="4" t="s">
        <v>58</v>
      </c>
      <c r="G304" s="3" t="s">
        <v>2797</v>
      </c>
      <c r="H304" s="3" t="s">
        <v>2798</v>
      </c>
      <c r="I304" s="3" t="s">
        <v>71</v>
      </c>
      <c r="J304" s="3" t="s">
        <v>61</v>
      </c>
      <c r="K304" s="3"/>
      <c r="L304" s="3"/>
      <c r="M304" s="3"/>
      <c r="N304" s="3"/>
      <c r="O304" s="3"/>
      <c r="P304" s="3"/>
      <c r="Q304" s="3"/>
      <c r="R304" s="3"/>
      <c r="S304" s="3"/>
    </row>
    <row r="305" spans="1:19" ht="51.75" x14ac:dyDescent="0.25">
      <c r="A305" s="1">
        <v>41026</v>
      </c>
      <c r="B305" s="1">
        <v>41027</v>
      </c>
      <c r="C305" s="2">
        <f t="shared" si="4"/>
        <v>2</v>
      </c>
      <c r="D305" s="6" t="s">
        <v>3117</v>
      </c>
      <c r="E305" s="3" t="s">
        <v>3118</v>
      </c>
      <c r="F305" s="4" t="s">
        <v>58</v>
      </c>
      <c r="G305" s="3" t="s">
        <v>3119</v>
      </c>
      <c r="H305" s="3" t="s">
        <v>3120</v>
      </c>
      <c r="I305" s="3" t="s">
        <v>1303</v>
      </c>
      <c r="J305" s="3" t="s">
        <v>61</v>
      </c>
      <c r="K305" s="3"/>
      <c r="L305" s="3"/>
      <c r="M305" s="3"/>
      <c r="N305" s="3"/>
      <c r="O305" s="3"/>
      <c r="P305" s="3"/>
      <c r="Q305" s="3"/>
      <c r="R305" s="3"/>
      <c r="S305" s="3"/>
    </row>
    <row r="306" spans="1:19" ht="26.25" x14ac:dyDescent="0.25">
      <c r="A306" s="1">
        <v>41026</v>
      </c>
      <c r="B306" s="1">
        <v>41027</v>
      </c>
      <c r="C306" s="2">
        <f t="shared" si="4"/>
        <v>2</v>
      </c>
      <c r="D306" s="6" t="s">
        <v>3124</v>
      </c>
      <c r="E306" s="3" t="s">
        <v>3125</v>
      </c>
      <c r="F306" s="4" t="s">
        <v>58</v>
      </c>
      <c r="G306" s="3" t="s">
        <v>3126</v>
      </c>
      <c r="H306" s="3" t="s">
        <v>3127</v>
      </c>
      <c r="I306" s="3" t="s">
        <v>1303</v>
      </c>
      <c r="J306" s="3" t="s">
        <v>61</v>
      </c>
      <c r="K306" s="3"/>
      <c r="L306" s="3"/>
      <c r="M306" s="3"/>
      <c r="N306" s="3"/>
      <c r="O306" s="3"/>
      <c r="P306" s="3"/>
      <c r="Q306" s="3"/>
      <c r="R306" s="3"/>
      <c r="S306" s="3"/>
    </row>
    <row r="307" spans="1:19" ht="26.25" x14ac:dyDescent="0.25">
      <c r="A307" s="1">
        <v>41033</v>
      </c>
      <c r="B307" s="1">
        <v>41034</v>
      </c>
      <c r="C307" s="2">
        <f t="shared" si="4"/>
        <v>2</v>
      </c>
      <c r="D307" s="6" t="s">
        <v>3198</v>
      </c>
      <c r="E307" s="3" t="s">
        <v>3199</v>
      </c>
      <c r="F307" s="4" t="s">
        <v>58</v>
      </c>
      <c r="G307" s="3" t="s">
        <v>3200</v>
      </c>
      <c r="H307" s="3"/>
      <c r="I307" s="3" t="s">
        <v>315</v>
      </c>
      <c r="J307" s="3" t="s">
        <v>61</v>
      </c>
      <c r="K307" s="3"/>
      <c r="L307" s="3"/>
      <c r="M307" s="3"/>
      <c r="N307" s="3"/>
      <c r="O307" s="3"/>
      <c r="P307" s="3"/>
      <c r="Q307" s="3"/>
      <c r="R307" s="3"/>
      <c r="S307" s="3"/>
    </row>
    <row r="308" spans="1:19" ht="51.75" x14ac:dyDescent="0.25">
      <c r="A308" s="1">
        <v>41033</v>
      </c>
      <c r="B308" s="1">
        <v>41034</v>
      </c>
      <c r="C308" s="2">
        <f t="shared" si="4"/>
        <v>2</v>
      </c>
      <c r="D308" s="6" t="s">
        <v>3191</v>
      </c>
      <c r="E308" s="3" t="s">
        <v>3192</v>
      </c>
      <c r="F308" s="4" t="s">
        <v>58</v>
      </c>
      <c r="G308" s="3" t="s">
        <v>3193</v>
      </c>
      <c r="H308" s="3"/>
      <c r="I308" s="3" t="s">
        <v>3194</v>
      </c>
      <c r="J308" s="3" t="s">
        <v>61</v>
      </c>
      <c r="K308" s="3"/>
      <c r="L308" s="3"/>
      <c r="M308" s="3"/>
      <c r="N308" s="3"/>
      <c r="O308" s="3"/>
      <c r="P308" s="3"/>
      <c r="Q308" s="3"/>
      <c r="R308" s="3"/>
      <c r="S308" s="3"/>
    </row>
    <row r="309" spans="1:19" ht="51.75" x14ac:dyDescent="0.25">
      <c r="A309" s="1">
        <v>41033</v>
      </c>
      <c r="B309" s="1">
        <v>41034</v>
      </c>
      <c r="C309" s="2">
        <f t="shared" si="4"/>
        <v>2</v>
      </c>
      <c r="D309" s="6" t="s">
        <v>3201</v>
      </c>
      <c r="E309" s="3" t="s">
        <v>3202</v>
      </c>
      <c r="F309" s="5" t="s">
        <v>58</v>
      </c>
      <c r="G309" s="3" t="s">
        <v>649</v>
      </c>
      <c r="H309" s="3" t="s">
        <v>650</v>
      </c>
      <c r="I309" s="3" t="s">
        <v>407</v>
      </c>
      <c r="J309" s="3" t="s">
        <v>61</v>
      </c>
      <c r="K309" s="3"/>
      <c r="L309" s="3"/>
      <c r="M309" s="3"/>
      <c r="N309" s="3"/>
      <c r="O309" s="3"/>
      <c r="P309" s="3"/>
      <c r="Q309" s="3"/>
      <c r="R309" s="3"/>
      <c r="S309" s="3"/>
    </row>
    <row r="310" spans="1:19" ht="51.75" x14ac:dyDescent="0.25">
      <c r="A310" s="1">
        <v>41041</v>
      </c>
      <c r="B310" s="1">
        <v>41042</v>
      </c>
      <c r="C310" s="2">
        <f t="shared" si="4"/>
        <v>2</v>
      </c>
      <c r="D310" s="6" t="s">
        <v>3272</v>
      </c>
      <c r="E310" s="3" t="s">
        <v>3273</v>
      </c>
      <c r="F310" s="4" t="s">
        <v>58</v>
      </c>
      <c r="G310" s="3" t="s">
        <v>3274</v>
      </c>
      <c r="H310" s="3"/>
      <c r="I310" s="3" t="s">
        <v>179</v>
      </c>
      <c r="J310" s="3" t="s">
        <v>61</v>
      </c>
      <c r="K310" s="3"/>
      <c r="L310" s="3"/>
      <c r="M310" s="3"/>
      <c r="N310" s="3"/>
      <c r="O310" s="3"/>
      <c r="P310" s="3"/>
      <c r="Q310" s="3"/>
      <c r="R310" s="3"/>
      <c r="S310" s="3"/>
    </row>
    <row r="311" spans="1:19" ht="39" x14ac:dyDescent="0.25">
      <c r="A311" s="1">
        <v>41041</v>
      </c>
      <c r="B311" s="1">
        <v>41042</v>
      </c>
      <c r="C311" s="2">
        <f t="shared" si="4"/>
        <v>2</v>
      </c>
      <c r="D311" s="6" t="s">
        <v>3266</v>
      </c>
      <c r="E311" s="3" t="s">
        <v>3267</v>
      </c>
      <c r="F311" s="4" t="s">
        <v>58</v>
      </c>
      <c r="G311" s="3" t="s">
        <v>3268</v>
      </c>
      <c r="H311" s="3"/>
      <c r="I311" s="3" t="s">
        <v>1446</v>
      </c>
      <c r="J311" s="3" t="s">
        <v>61</v>
      </c>
      <c r="K311" s="3"/>
      <c r="L311" s="3"/>
      <c r="M311" s="3"/>
      <c r="N311" s="3"/>
      <c r="O311" s="3"/>
      <c r="P311" s="3"/>
      <c r="Q311" s="3"/>
      <c r="R311" s="3"/>
      <c r="S311" s="3"/>
    </row>
    <row r="312" spans="1:19" ht="26.25" x14ac:dyDescent="0.25">
      <c r="A312" s="1">
        <v>41061</v>
      </c>
      <c r="B312" s="1">
        <v>41062</v>
      </c>
      <c r="C312" s="2">
        <f t="shared" si="4"/>
        <v>2</v>
      </c>
      <c r="D312" s="6" t="s">
        <v>3343</v>
      </c>
      <c r="E312" s="3" t="s">
        <v>3344</v>
      </c>
      <c r="F312" s="4" t="s">
        <v>58</v>
      </c>
      <c r="G312" s="3" t="s">
        <v>3342</v>
      </c>
      <c r="H312" s="3"/>
      <c r="I312" s="3" t="s">
        <v>179</v>
      </c>
      <c r="J312" s="3" t="s">
        <v>61</v>
      </c>
      <c r="K312" s="3"/>
      <c r="L312" s="3"/>
      <c r="M312" s="3"/>
      <c r="N312" s="3"/>
      <c r="O312" s="3"/>
      <c r="P312" s="3"/>
      <c r="Q312" s="3"/>
      <c r="R312" s="3"/>
      <c r="S312" s="3"/>
    </row>
    <row r="313" spans="1:19" ht="39" x14ac:dyDescent="0.25">
      <c r="A313" s="1">
        <v>41069</v>
      </c>
      <c r="B313" s="1">
        <v>41070</v>
      </c>
      <c r="C313" s="2">
        <f t="shared" si="4"/>
        <v>2</v>
      </c>
      <c r="D313" s="6" t="s">
        <v>3432</v>
      </c>
      <c r="E313" s="3" t="s">
        <v>3433</v>
      </c>
      <c r="F313" s="4" t="s">
        <v>58</v>
      </c>
      <c r="G313" s="3" t="s">
        <v>3434</v>
      </c>
      <c r="H313" s="3" t="s">
        <v>3435</v>
      </c>
      <c r="I313" s="3" t="s">
        <v>133</v>
      </c>
      <c r="J313" s="3" t="s">
        <v>61</v>
      </c>
      <c r="K313" s="3"/>
      <c r="L313" s="3"/>
      <c r="M313" s="3"/>
      <c r="N313" s="3"/>
      <c r="O313" s="3"/>
      <c r="P313" s="3"/>
      <c r="Q313" s="3"/>
      <c r="R313" s="3"/>
      <c r="S313" s="3"/>
    </row>
    <row r="314" spans="1:19" ht="39" x14ac:dyDescent="0.25">
      <c r="A314" s="1">
        <v>41075</v>
      </c>
      <c r="B314" s="1">
        <v>41076</v>
      </c>
      <c r="C314" s="2">
        <f t="shared" si="4"/>
        <v>2</v>
      </c>
      <c r="D314" s="6" t="s">
        <v>3449</v>
      </c>
      <c r="E314" s="3" t="s">
        <v>3450</v>
      </c>
      <c r="F314" s="4" t="s">
        <v>58</v>
      </c>
      <c r="G314" s="3" t="s">
        <v>271</v>
      </c>
      <c r="H314" s="3"/>
      <c r="I314" s="3" t="s">
        <v>210</v>
      </c>
      <c r="J314" s="3" t="s">
        <v>61</v>
      </c>
      <c r="K314" s="3"/>
      <c r="L314" s="3"/>
      <c r="M314" s="3"/>
      <c r="N314" s="3"/>
      <c r="O314" s="3"/>
      <c r="P314" s="3"/>
      <c r="Q314" s="3"/>
      <c r="R314" s="3"/>
      <c r="S314" s="3"/>
    </row>
    <row r="315" spans="1:19" ht="26.25" x14ac:dyDescent="0.25">
      <c r="A315" s="1">
        <v>41085</v>
      </c>
      <c r="B315" s="1">
        <v>41086</v>
      </c>
      <c r="C315" s="2">
        <f t="shared" si="4"/>
        <v>2</v>
      </c>
      <c r="D315" s="6" t="s">
        <v>3518</v>
      </c>
      <c r="E315" s="3" t="s">
        <v>3519</v>
      </c>
      <c r="F315" s="4" t="s">
        <v>58</v>
      </c>
      <c r="G315" s="3" t="s">
        <v>3520</v>
      </c>
      <c r="H315" s="3"/>
      <c r="I315" s="3" t="s">
        <v>2018</v>
      </c>
      <c r="J315" s="3" t="s">
        <v>61</v>
      </c>
      <c r="K315" s="3"/>
      <c r="L315" s="3"/>
      <c r="M315" s="3"/>
      <c r="N315" s="3"/>
      <c r="O315" s="3"/>
      <c r="P315" s="3"/>
      <c r="Q315" s="3"/>
      <c r="R315" s="3"/>
      <c r="S315" s="3"/>
    </row>
    <row r="316" spans="1:19" ht="39" x14ac:dyDescent="0.25">
      <c r="A316" s="16">
        <v>41089</v>
      </c>
      <c r="B316" s="16">
        <v>41090</v>
      </c>
      <c r="C316" s="2">
        <f t="shared" si="4"/>
        <v>2</v>
      </c>
      <c r="D316" s="27" t="s">
        <v>3525</v>
      </c>
      <c r="E316" s="7" t="s">
        <v>3526</v>
      </c>
      <c r="F316" s="4" t="s">
        <v>58</v>
      </c>
      <c r="G316" s="7" t="s">
        <v>3527</v>
      </c>
      <c r="H316" s="7" t="s">
        <v>3528</v>
      </c>
      <c r="I316" s="7" t="s">
        <v>77</v>
      </c>
      <c r="J316" s="7" t="s">
        <v>61</v>
      </c>
      <c r="K316" s="7"/>
      <c r="L316" s="7"/>
      <c r="M316" s="7"/>
      <c r="N316" s="7"/>
      <c r="O316" s="7"/>
      <c r="P316" s="7"/>
      <c r="Q316" s="7"/>
      <c r="R316" s="7"/>
      <c r="S316" s="7"/>
    </row>
    <row r="317" spans="1:19" ht="51.75" x14ac:dyDescent="0.25">
      <c r="A317" s="1">
        <v>41091</v>
      </c>
      <c r="B317" s="1">
        <v>41092</v>
      </c>
      <c r="C317" s="2">
        <f t="shared" si="4"/>
        <v>2</v>
      </c>
      <c r="D317" s="6" t="s">
        <v>3541</v>
      </c>
      <c r="E317" s="3" t="s">
        <v>3542</v>
      </c>
      <c r="F317" s="4" t="s">
        <v>58</v>
      </c>
      <c r="G317" s="3" t="s">
        <v>3440</v>
      </c>
      <c r="H317" s="3"/>
      <c r="I317" s="3" t="s">
        <v>865</v>
      </c>
      <c r="J317" s="3" t="s">
        <v>61</v>
      </c>
      <c r="K317" s="3"/>
      <c r="L317" s="3"/>
      <c r="M317" s="3"/>
      <c r="N317" s="3"/>
      <c r="O317" s="3"/>
      <c r="P317" s="3"/>
      <c r="Q317" s="3"/>
      <c r="R317" s="3"/>
      <c r="S317" s="3"/>
    </row>
    <row r="318" spans="1:19" ht="51.75" x14ac:dyDescent="0.25">
      <c r="A318" s="1">
        <v>41095</v>
      </c>
      <c r="B318" s="1">
        <v>41096</v>
      </c>
      <c r="C318" s="2">
        <f t="shared" si="4"/>
        <v>2</v>
      </c>
      <c r="D318" s="6" t="s">
        <v>3619</v>
      </c>
      <c r="E318" s="3" t="s">
        <v>3620</v>
      </c>
      <c r="F318" s="4" t="s">
        <v>58</v>
      </c>
      <c r="G318" s="3" t="s">
        <v>787</v>
      </c>
      <c r="H318" s="3" t="s">
        <v>788</v>
      </c>
      <c r="I318" s="3" t="s">
        <v>789</v>
      </c>
      <c r="J318" s="3" t="s">
        <v>61</v>
      </c>
      <c r="K318" s="3"/>
      <c r="L318" s="3"/>
      <c r="M318" s="3"/>
      <c r="N318" s="3"/>
      <c r="O318" s="3"/>
      <c r="P318" s="3"/>
      <c r="Q318" s="3"/>
      <c r="R318" s="3"/>
      <c r="S318" s="3"/>
    </row>
    <row r="319" spans="1:19" ht="51.75" x14ac:dyDescent="0.25">
      <c r="A319" s="1">
        <v>41103</v>
      </c>
      <c r="B319" s="1">
        <v>41104</v>
      </c>
      <c r="C319" s="2">
        <f t="shared" si="4"/>
        <v>2</v>
      </c>
      <c r="D319" s="6" t="s">
        <v>3634</v>
      </c>
      <c r="E319" s="3" t="s">
        <v>3635</v>
      </c>
      <c r="F319" s="4" t="s">
        <v>58</v>
      </c>
      <c r="G319" s="3" t="s">
        <v>1707</v>
      </c>
      <c r="H319" s="3" t="s">
        <v>3636</v>
      </c>
      <c r="I319" s="3" t="s">
        <v>865</v>
      </c>
      <c r="J319" s="3" t="s">
        <v>61</v>
      </c>
      <c r="K319" s="3"/>
      <c r="L319" s="3"/>
      <c r="M319" s="3"/>
      <c r="N319" s="3"/>
      <c r="O319" s="3"/>
      <c r="P319" s="3"/>
      <c r="Q319" s="3"/>
      <c r="R319" s="3"/>
      <c r="S319" s="3"/>
    </row>
    <row r="320" spans="1:19" ht="26.25" x14ac:dyDescent="0.25">
      <c r="A320" s="1">
        <v>41111</v>
      </c>
      <c r="B320" s="1">
        <v>41112</v>
      </c>
      <c r="C320" s="2">
        <f t="shared" si="4"/>
        <v>2</v>
      </c>
      <c r="D320" s="6" t="s">
        <v>3695</v>
      </c>
      <c r="E320" s="3" t="s">
        <v>3696</v>
      </c>
      <c r="F320" s="4" t="s">
        <v>58</v>
      </c>
      <c r="G320" s="3" t="s">
        <v>3697</v>
      </c>
      <c r="H320" s="3" t="s">
        <v>3698</v>
      </c>
      <c r="I320" s="3" t="s">
        <v>530</v>
      </c>
      <c r="J320" s="3" t="s">
        <v>61</v>
      </c>
      <c r="K320" s="3"/>
      <c r="L320" s="3"/>
      <c r="M320" s="3"/>
      <c r="N320" s="3"/>
      <c r="O320" s="3"/>
      <c r="P320" s="3"/>
      <c r="Q320" s="3"/>
      <c r="R320" s="3"/>
      <c r="S320" s="3"/>
    </row>
    <row r="321" spans="1:19" ht="51.75" x14ac:dyDescent="0.25">
      <c r="A321" s="1">
        <v>41111</v>
      </c>
      <c r="B321" s="1">
        <v>41112</v>
      </c>
      <c r="C321" s="2">
        <f t="shared" ref="C321:C384" si="5">(B321-A321)+1</f>
        <v>2</v>
      </c>
      <c r="D321" s="6" t="s">
        <v>3688</v>
      </c>
      <c r="E321" s="3" t="s">
        <v>3689</v>
      </c>
      <c r="F321" s="4" t="s">
        <v>58</v>
      </c>
      <c r="G321" s="3" t="s">
        <v>3690</v>
      </c>
      <c r="H321" s="3" t="s">
        <v>3691</v>
      </c>
      <c r="I321" s="3" t="s">
        <v>888</v>
      </c>
      <c r="J321" s="3" t="s">
        <v>61</v>
      </c>
      <c r="K321" s="3"/>
      <c r="L321" s="3"/>
      <c r="M321" s="3"/>
      <c r="N321" s="3"/>
      <c r="O321" s="3"/>
      <c r="P321" s="3"/>
      <c r="Q321" s="3"/>
      <c r="R321" s="3"/>
      <c r="S321" s="3"/>
    </row>
    <row r="322" spans="1:19" ht="39" x14ac:dyDescent="0.25">
      <c r="A322" s="1">
        <v>41117</v>
      </c>
      <c r="B322" s="1">
        <v>41118</v>
      </c>
      <c r="C322" s="2">
        <f t="shared" si="5"/>
        <v>2</v>
      </c>
      <c r="D322" s="6" t="s">
        <v>3726</v>
      </c>
      <c r="E322" s="3" t="s">
        <v>3727</v>
      </c>
      <c r="F322" s="4" t="s">
        <v>58</v>
      </c>
      <c r="G322" s="3" t="s">
        <v>3728</v>
      </c>
      <c r="H322" s="3" t="s">
        <v>3729</v>
      </c>
      <c r="I322" s="3" t="s">
        <v>91</v>
      </c>
      <c r="J322" s="3" t="s">
        <v>61</v>
      </c>
      <c r="K322" s="3"/>
      <c r="L322" s="3"/>
      <c r="M322" s="3"/>
      <c r="N322" s="3"/>
      <c r="O322" s="3"/>
      <c r="P322" s="3"/>
      <c r="Q322" s="3"/>
      <c r="R322" s="3"/>
      <c r="S322" s="3"/>
    </row>
    <row r="323" spans="1:19" ht="51.75" x14ac:dyDescent="0.25">
      <c r="A323" s="1">
        <v>41124</v>
      </c>
      <c r="B323" s="1">
        <v>41125</v>
      </c>
      <c r="C323" s="2">
        <f t="shared" si="5"/>
        <v>2</v>
      </c>
      <c r="D323" s="6" t="s">
        <v>3766</v>
      </c>
      <c r="E323" s="3" t="s">
        <v>3767</v>
      </c>
      <c r="F323" s="4" t="s">
        <v>58</v>
      </c>
      <c r="G323" s="3" t="s">
        <v>3755</v>
      </c>
      <c r="H323" s="3" t="s">
        <v>3768</v>
      </c>
      <c r="I323" s="3" t="s">
        <v>1247</v>
      </c>
      <c r="J323" s="3" t="s">
        <v>61</v>
      </c>
      <c r="K323" s="3"/>
      <c r="L323" s="3"/>
      <c r="M323" s="3"/>
      <c r="N323" s="3"/>
      <c r="O323" s="3"/>
      <c r="P323" s="3"/>
      <c r="Q323" s="3"/>
      <c r="R323" s="3"/>
      <c r="S323" s="3"/>
    </row>
    <row r="324" spans="1:19" ht="51.75" x14ac:dyDescent="0.25">
      <c r="A324" s="1">
        <v>41125</v>
      </c>
      <c r="B324" s="1">
        <v>41126</v>
      </c>
      <c r="C324" s="2">
        <f t="shared" si="5"/>
        <v>2</v>
      </c>
      <c r="D324" s="6" t="s">
        <v>3785</v>
      </c>
      <c r="E324" s="3" t="s">
        <v>3786</v>
      </c>
      <c r="F324" s="4" t="s">
        <v>58</v>
      </c>
      <c r="G324" s="3" t="s">
        <v>3787</v>
      </c>
      <c r="H324" s="3" t="s">
        <v>1212</v>
      </c>
      <c r="I324" s="3" t="s">
        <v>888</v>
      </c>
      <c r="J324" s="3" t="s">
        <v>61</v>
      </c>
      <c r="K324" s="3"/>
      <c r="L324" s="3"/>
      <c r="M324" s="3"/>
      <c r="N324" s="3"/>
      <c r="O324" s="3"/>
      <c r="P324" s="3"/>
      <c r="Q324" s="3"/>
      <c r="R324" s="3"/>
      <c r="S324" s="3"/>
    </row>
    <row r="325" spans="1:19" ht="39" x14ac:dyDescent="0.25">
      <c r="A325" s="1">
        <v>41137</v>
      </c>
      <c r="B325" s="1">
        <v>41138</v>
      </c>
      <c r="C325" s="2">
        <f t="shared" si="5"/>
        <v>2</v>
      </c>
      <c r="D325" s="6" t="s">
        <v>3821</v>
      </c>
      <c r="E325" s="3" t="s">
        <v>3822</v>
      </c>
      <c r="F325" s="4" t="s">
        <v>58</v>
      </c>
      <c r="G325" s="3" t="s">
        <v>787</v>
      </c>
      <c r="H325" s="3" t="s">
        <v>788</v>
      </c>
      <c r="I325" s="3" t="s">
        <v>789</v>
      </c>
      <c r="J325" s="3" t="s">
        <v>61</v>
      </c>
      <c r="K325" s="3"/>
      <c r="L325" s="3"/>
      <c r="M325" s="3"/>
      <c r="N325" s="3"/>
      <c r="O325" s="3"/>
      <c r="P325" s="3"/>
      <c r="Q325" s="3"/>
      <c r="R325" s="3"/>
      <c r="S325" s="3"/>
    </row>
    <row r="326" spans="1:19" ht="26.25" x14ac:dyDescent="0.25">
      <c r="A326" s="1">
        <v>41138</v>
      </c>
      <c r="B326" s="1">
        <v>41139</v>
      </c>
      <c r="C326" s="2">
        <f t="shared" si="5"/>
        <v>2</v>
      </c>
      <c r="D326" s="6" t="s">
        <v>897</v>
      </c>
      <c r="E326" s="3" t="s">
        <v>897</v>
      </c>
      <c r="F326" s="4" t="s">
        <v>58</v>
      </c>
      <c r="G326" s="3" t="s">
        <v>297</v>
      </c>
      <c r="H326" s="3"/>
      <c r="I326" s="3" t="s">
        <v>60</v>
      </c>
      <c r="J326" s="3" t="s">
        <v>61</v>
      </c>
      <c r="K326" s="3"/>
      <c r="L326" s="3"/>
      <c r="M326" s="3"/>
      <c r="N326" s="3"/>
      <c r="O326" s="3"/>
      <c r="P326" s="3"/>
      <c r="Q326" s="3"/>
      <c r="R326" s="3"/>
      <c r="S326" s="3"/>
    </row>
    <row r="327" spans="1:19" ht="51.75" x14ac:dyDescent="0.25">
      <c r="A327" s="1">
        <v>41155</v>
      </c>
      <c r="B327" s="1">
        <v>41156</v>
      </c>
      <c r="C327" s="2">
        <f t="shared" si="5"/>
        <v>2</v>
      </c>
      <c r="D327" s="6" t="s">
        <v>3884</v>
      </c>
      <c r="E327" s="3" t="s">
        <v>3885</v>
      </c>
      <c r="F327" s="4" t="s">
        <v>58</v>
      </c>
      <c r="G327" s="3" t="s">
        <v>787</v>
      </c>
      <c r="H327" s="3" t="s">
        <v>788</v>
      </c>
      <c r="I327" s="3" t="s">
        <v>789</v>
      </c>
      <c r="J327" s="3" t="s">
        <v>61</v>
      </c>
      <c r="K327" s="3"/>
      <c r="L327" s="3"/>
      <c r="M327" s="3"/>
      <c r="N327" s="3"/>
      <c r="O327" s="3"/>
      <c r="P327" s="3"/>
      <c r="Q327" s="3"/>
      <c r="R327" s="3"/>
      <c r="S327" s="3"/>
    </row>
    <row r="328" spans="1:19" ht="39" x14ac:dyDescent="0.25">
      <c r="A328" s="1">
        <v>41160</v>
      </c>
      <c r="B328" s="1">
        <v>41161</v>
      </c>
      <c r="C328" s="2">
        <f t="shared" si="5"/>
        <v>2</v>
      </c>
      <c r="D328" s="6" t="s">
        <v>3920</v>
      </c>
      <c r="E328" s="3" t="s">
        <v>3921</v>
      </c>
      <c r="F328" s="4" t="s">
        <v>58</v>
      </c>
      <c r="G328" s="3" t="s">
        <v>3922</v>
      </c>
      <c r="H328" s="3" t="s">
        <v>3923</v>
      </c>
      <c r="I328" s="3" t="s">
        <v>105</v>
      </c>
      <c r="J328" s="3" t="s">
        <v>61</v>
      </c>
      <c r="K328" s="3"/>
      <c r="L328" s="3"/>
      <c r="M328" s="3"/>
      <c r="N328" s="3"/>
      <c r="O328" s="3"/>
      <c r="P328" s="3"/>
      <c r="Q328" s="3"/>
      <c r="R328" s="3"/>
      <c r="S328" s="3"/>
    </row>
    <row r="329" spans="1:19" ht="51.75" x14ac:dyDescent="0.25">
      <c r="A329" s="1">
        <v>41167</v>
      </c>
      <c r="B329" s="1">
        <v>41168</v>
      </c>
      <c r="C329" s="2">
        <f t="shared" si="5"/>
        <v>2</v>
      </c>
      <c r="D329" s="6" t="s">
        <v>3950</v>
      </c>
      <c r="E329" s="3" t="s">
        <v>3951</v>
      </c>
      <c r="F329" s="4" t="s">
        <v>58</v>
      </c>
      <c r="G329" s="3" t="s">
        <v>3952</v>
      </c>
      <c r="H329" s="3"/>
      <c r="I329" s="3" t="s">
        <v>865</v>
      </c>
      <c r="J329" s="3" t="s">
        <v>61</v>
      </c>
      <c r="K329" s="3"/>
      <c r="L329" s="3"/>
      <c r="M329" s="3"/>
      <c r="N329" s="3"/>
      <c r="O329" s="3"/>
      <c r="P329" s="3"/>
      <c r="Q329" s="3"/>
      <c r="R329" s="3"/>
      <c r="S329" s="3"/>
    </row>
    <row r="330" spans="1:19" ht="51.75" x14ac:dyDescent="0.25">
      <c r="A330" s="1">
        <v>41180</v>
      </c>
      <c r="B330" s="1">
        <v>41181</v>
      </c>
      <c r="C330" s="2">
        <f t="shared" si="5"/>
        <v>2</v>
      </c>
      <c r="D330" s="6" t="s">
        <v>3972</v>
      </c>
      <c r="E330" s="3" t="s">
        <v>3973</v>
      </c>
      <c r="F330" s="4" t="s">
        <v>58</v>
      </c>
      <c r="G330" s="3" t="s">
        <v>3974</v>
      </c>
      <c r="H330" s="3" t="s">
        <v>3975</v>
      </c>
      <c r="I330" s="3" t="s">
        <v>1866</v>
      </c>
      <c r="J330" s="3" t="s">
        <v>61</v>
      </c>
      <c r="K330" s="3"/>
      <c r="L330" s="3"/>
      <c r="M330" s="3"/>
      <c r="N330" s="3"/>
      <c r="O330" s="3"/>
      <c r="P330" s="3"/>
      <c r="Q330" s="3"/>
      <c r="R330" s="3"/>
      <c r="S330" s="3"/>
    </row>
    <row r="331" spans="1:19" ht="39" x14ac:dyDescent="0.25">
      <c r="A331" s="18">
        <v>40817</v>
      </c>
      <c r="B331" s="18">
        <v>40817</v>
      </c>
      <c r="C331" s="2">
        <f t="shared" si="5"/>
        <v>1</v>
      </c>
      <c r="D331" s="6" t="s">
        <v>494</v>
      </c>
      <c r="E331" s="3" t="s">
        <v>495</v>
      </c>
      <c r="F331" s="4" t="s">
        <v>58</v>
      </c>
      <c r="G331" s="3" t="s">
        <v>215</v>
      </c>
      <c r="H331" s="3"/>
      <c r="I331" s="3" t="s">
        <v>496</v>
      </c>
      <c r="J331" s="3" t="s">
        <v>61</v>
      </c>
      <c r="K331" s="3"/>
      <c r="L331" s="3"/>
      <c r="M331" s="3"/>
      <c r="N331" s="3"/>
      <c r="O331" s="3"/>
      <c r="P331" s="3"/>
      <c r="Q331" s="3"/>
      <c r="R331" s="3"/>
      <c r="S331" s="3"/>
    </row>
    <row r="332" spans="1:19" ht="26.25" x14ac:dyDescent="0.25">
      <c r="A332" s="18">
        <v>40817</v>
      </c>
      <c r="B332" s="18">
        <v>40817</v>
      </c>
      <c r="C332" s="2">
        <f t="shared" si="5"/>
        <v>1</v>
      </c>
      <c r="D332" s="6" t="s">
        <v>498</v>
      </c>
      <c r="E332" s="3" t="s">
        <v>499</v>
      </c>
      <c r="F332" s="4" t="s">
        <v>58</v>
      </c>
      <c r="G332" s="3" t="s">
        <v>399</v>
      </c>
      <c r="H332" s="3"/>
      <c r="I332" s="3" t="s">
        <v>400</v>
      </c>
      <c r="J332" s="3" t="s">
        <v>61</v>
      </c>
      <c r="K332" s="3"/>
      <c r="L332" s="3"/>
      <c r="M332" s="3"/>
      <c r="N332" s="3"/>
      <c r="O332" s="3"/>
      <c r="P332" s="3"/>
      <c r="Q332" s="3"/>
      <c r="R332" s="3"/>
      <c r="S332" s="3"/>
    </row>
    <row r="333" spans="1:19" x14ac:dyDescent="0.25">
      <c r="A333" s="18">
        <v>40817</v>
      </c>
      <c r="B333" s="18">
        <v>40817</v>
      </c>
      <c r="C333" s="2">
        <f t="shared" si="5"/>
        <v>1</v>
      </c>
      <c r="D333" s="6" t="s">
        <v>501</v>
      </c>
      <c r="E333" s="3" t="s">
        <v>502</v>
      </c>
      <c r="F333" s="5" t="s">
        <v>58</v>
      </c>
      <c r="G333" s="3" t="s">
        <v>503</v>
      </c>
      <c r="H333" s="3" t="s">
        <v>504</v>
      </c>
      <c r="I333" s="3" t="s">
        <v>505</v>
      </c>
      <c r="J333" s="3" t="s">
        <v>61</v>
      </c>
      <c r="K333" s="3"/>
      <c r="L333" s="3"/>
      <c r="M333" s="3"/>
      <c r="N333" s="3"/>
      <c r="O333" s="3"/>
      <c r="P333" s="3"/>
      <c r="Q333" s="3"/>
      <c r="R333" s="3"/>
      <c r="S333" s="3"/>
    </row>
    <row r="334" spans="1:19" ht="26.25" x14ac:dyDescent="0.25">
      <c r="A334" s="18">
        <v>40817</v>
      </c>
      <c r="B334" s="18">
        <v>40817</v>
      </c>
      <c r="C334" s="2">
        <f t="shared" si="5"/>
        <v>1</v>
      </c>
      <c r="D334" s="6" t="s">
        <v>507</v>
      </c>
      <c r="E334" s="3" t="s">
        <v>508</v>
      </c>
      <c r="F334" s="4" t="s">
        <v>58</v>
      </c>
      <c r="G334" s="3" t="s">
        <v>509</v>
      </c>
      <c r="H334" s="3" t="s">
        <v>510</v>
      </c>
      <c r="I334" s="3" t="s">
        <v>125</v>
      </c>
      <c r="J334" s="3" t="s">
        <v>61</v>
      </c>
      <c r="K334" s="3"/>
      <c r="L334" s="3"/>
      <c r="M334" s="3"/>
      <c r="N334" s="3"/>
      <c r="O334" s="3"/>
      <c r="P334" s="3"/>
      <c r="Q334" s="3"/>
      <c r="R334" s="3"/>
      <c r="S334" s="3"/>
    </row>
    <row r="335" spans="1:19" ht="51.75" x14ac:dyDescent="0.25">
      <c r="A335" s="18">
        <v>40817</v>
      </c>
      <c r="B335" s="18">
        <v>40817</v>
      </c>
      <c r="C335" s="2">
        <f t="shared" si="5"/>
        <v>1</v>
      </c>
      <c r="D335" s="6" t="s">
        <v>514</v>
      </c>
      <c r="E335" s="3" t="s">
        <v>515</v>
      </c>
      <c r="F335" s="4" t="s">
        <v>58</v>
      </c>
      <c r="G335" s="3" t="s">
        <v>516</v>
      </c>
      <c r="H335" s="3" t="s">
        <v>517</v>
      </c>
      <c r="I335" s="3" t="s">
        <v>518</v>
      </c>
      <c r="J335" s="3" t="s">
        <v>61</v>
      </c>
      <c r="K335" s="3"/>
      <c r="L335" s="3"/>
      <c r="M335" s="3"/>
      <c r="N335" s="3"/>
      <c r="O335" s="3"/>
      <c r="P335" s="3"/>
      <c r="Q335" s="3"/>
      <c r="R335" s="3"/>
      <c r="S335" s="3"/>
    </row>
    <row r="336" spans="1:19" ht="51.75" x14ac:dyDescent="0.25">
      <c r="A336" s="18">
        <v>40817</v>
      </c>
      <c r="B336" s="18">
        <v>40817</v>
      </c>
      <c r="C336" s="2">
        <f t="shared" si="5"/>
        <v>1</v>
      </c>
      <c r="D336" s="6" t="s">
        <v>522</v>
      </c>
      <c r="E336" s="3" t="s">
        <v>523</v>
      </c>
      <c r="F336" s="4" t="s">
        <v>58</v>
      </c>
      <c r="G336" s="3" t="s">
        <v>524</v>
      </c>
      <c r="H336" s="3"/>
      <c r="I336" s="3" t="s">
        <v>525</v>
      </c>
      <c r="J336" s="3" t="s">
        <v>61</v>
      </c>
      <c r="K336" s="3"/>
      <c r="L336" s="3"/>
      <c r="M336" s="3"/>
      <c r="N336" s="3"/>
      <c r="O336" s="3"/>
      <c r="P336" s="3"/>
      <c r="Q336" s="3"/>
      <c r="R336" s="3"/>
      <c r="S336" s="3"/>
    </row>
    <row r="337" spans="1:19" ht="39" x14ac:dyDescent="0.25">
      <c r="A337" s="18">
        <v>40817</v>
      </c>
      <c r="B337" s="18">
        <v>40817</v>
      </c>
      <c r="C337" s="2">
        <f t="shared" si="5"/>
        <v>1</v>
      </c>
      <c r="D337" s="6" t="s">
        <v>527</v>
      </c>
      <c r="E337" s="3" t="s">
        <v>528</v>
      </c>
      <c r="F337" s="4" t="s">
        <v>58</v>
      </c>
      <c r="G337" s="3" t="s">
        <v>529</v>
      </c>
      <c r="H337" s="3"/>
      <c r="I337" s="3" t="s">
        <v>530</v>
      </c>
      <c r="J337" s="3" t="s">
        <v>61</v>
      </c>
      <c r="K337" s="3"/>
      <c r="L337" s="3"/>
      <c r="M337" s="3"/>
      <c r="N337" s="3"/>
      <c r="O337" s="3"/>
      <c r="P337" s="3"/>
      <c r="Q337" s="3"/>
      <c r="R337" s="3"/>
      <c r="S337" s="3"/>
    </row>
    <row r="338" spans="1:19" ht="51.75" x14ac:dyDescent="0.25">
      <c r="A338" s="18">
        <v>40817</v>
      </c>
      <c r="B338" s="18">
        <v>40817</v>
      </c>
      <c r="C338" s="2">
        <f t="shared" si="5"/>
        <v>1</v>
      </c>
      <c r="D338" s="6" t="s">
        <v>535</v>
      </c>
      <c r="E338" s="3" t="s">
        <v>536</v>
      </c>
      <c r="F338" s="4" t="s">
        <v>58</v>
      </c>
      <c r="G338" s="3" t="s">
        <v>537</v>
      </c>
      <c r="H338" s="3" t="s">
        <v>538</v>
      </c>
      <c r="I338" s="3" t="s">
        <v>227</v>
      </c>
      <c r="J338" s="3" t="s">
        <v>61</v>
      </c>
      <c r="K338" s="3"/>
      <c r="L338" s="3"/>
      <c r="M338" s="3"/>
      <c r="N338" s="3"/>
      <c r="O338" s="3"/>
      <c r="P338" s="3"/>
      <c r="Q338" s="3"/>
      <c r="R338" s="3"/>
      <c r="S338" s="3"/>
    </row>
    <row r="339" spans="1:19" ht="51.75" x14ac:dyDescent="0.25">
      <c r="A339" s="18">
        <v>40817</v>
      </c>
      <c r="B339" s="18">
        <v>40817</v>
      </c>
      <c r="C339" s="2">
        <f t="shared" si="5"/>
        <v>1</v>
      </c>
      <c r="D339" s="6" t="s">
        <v>542</v>
      </c>
      <c r="E339" s="3" t="s">
        <v>543</v>
      </c>
      <c r="F339" s="4" t="s">
        <v>58</v>
      </c>
      <c r="G339" s="3" t="s">
        <v>544</v>
      </c>
      <c r="H339" s="3"/>
      <c r="I339" s="3" t="s">
        <v>545</v>
      </c>
      <c r="J339" s="3" t="s">
        <v>61</v>
      </c>
      <c r="K339" s="3"/>
      <c r="L339" s="3"/>
      <c r="M339" s="3"/>
      <c r="N339" s="3"/>
      <c r="O339" s="3"/>
      <c r="P339" s="3"/>
      <c r="Q339" s="3"/>
      <c r="R339" s="3"/>
      <c r="S339" s="3"/>
    </row>
    <row r="340" spans="1:19" ht="26.25" x14ac:dyDescent="0.25">
      <c r="A340" s="18">
        <v>40817</v>
      </c>
      <c r="B340" s="18">
        <v>40817</v>
      </c>
      <c r="C340" s="2">
        <f t="shared" si="5"/>
        <v>1</v>
      </c>
      <c r="D340" s="6" t="s">
        <v>549</v>
      </c>
      <c r="E340" s="3" t="s">
        <v>550</v>
      </c>
      <c r="F340" s="4" t="s">
        <v>58</v>
      </c>
      <c r="G340" s="3" t="s">
        <v>551</v>
      </c>
      <c r="H340" s="3" t="s">
        <v>552</v>
      </c>
      <c r="I340" s="3" t="s">
        <v>60</v>
      </c>
      <c r="J340" s="3" t="s">
        <v>61</v>
      </c>
      <c r="K340" s="3"/>
      <c r="L340" s="3"/>
      <c r="M340" s="3"/>
      <c r="N340" s="3"/>
      <c r="O340" s="3"/>
      <c r="P340" s="3"/>
      <c r="Q340" s="3"/>
      <c r="R340" s="3"/>
      <c r="S340" s="3"/>
    </row>
    <row r="341" spans="1:19" ht="51.75" x14ac:dyDescent="0.25">
      <c r="A341" s="18">
        <v>40817</v>
      </c>
      <c r="B341" s="18">
        <v>40817</v>
      </c>
      <c r="C341" s="2">
        <f t="shared" si="5"/>
        <v>1</v>
      </c>
      <c r="D341" s="6" t="s">
        <v>555</v>
      </c>
      <c r="E341" s="3" t="s">
        <v>556</v>
      </c>
      <c r="F341" s="4" t="s">
        <v>58</v>
      </c>
      <c r="G341" s="3" t="s">
        <v>557</v>
      </c>
      <c r="H341" s="3"/>
      <c r="I341" s="3" t="s">
        <v>558</v>
      </c>
      <c r="J341" s="3" t="s">
        <v>61</v>
      </c>
      <c r="K341" s="3"/>
      <c r="L341" s="3"/>
      <c r="M341" s="3"/>
      <c r="N341" s="3"/>
      <c r="O341" s="3"/>
      <c r="P341" s="3"/>
      <c r="Q341" s="3"/>
      <c r="R341" s="3"/>
      <c r="S341" s="3"/>
    </row>
    <row r="342" spans="1:19" ht="39" x14ac:dyDescent="0.25">
      <c r="A342" s="18">
        <v>40817</v>
      </c>
      <c r="B342" s="18">
        <v>40817</v>
      </c>
      <c r="C342" s="2">
        <f t="shared" si="5"/>
        <v>1</v>
      </c>
      <c r="D342" s="6" t="s">
        <v>563</v>
      </c>
      <c r="E342" s="3" t="s">
        <v>564</v>
      </c>
      <c r="F342" s="4" t="s">
        <v>58</v>
      </c>
      <c r="G342" s="3" t="s">
        <v>565</v>
      </c>
      <c r="H342" s="3"/>
      <c r="I342" s="3" t="s">
        <v>505</v>
      </c>
      <c r="J342" s="3" t="s">
        <v>61</v>
      </c>
      <c r="K342" s="3"/>
      <c r="L342" s="3"/>
      <c r="M342" s="3"/>
      <c r="N342" s="3"/>
      <c r="O342" s="3"/>
      <c r="P342" s="3"/>
      <c r="Q342" s="3"/>
      <c r="R342" s="3"/>
      <c r="S342" s="3"/>
    </row>
    <row r="343" spans="1:19" ht="51.75" x14ac:dyDescent="0.25">
      <c r="A343" s="18">
        <v>40817</v>
      </c>
      <c r="B343" s="18">
        <v>40817</v>
      </c>
      <c r="C343" s="2">
        <f t="shared" si="5"/>
        <v>1</v>
      </c>
      <c r="D343" s="6" t="s">
        <v>567</v>
      </c>
      <c r="E343" s="3" t="s">
        <v>568</v>
      </c>
      <c r="F343" s="4" t="s">
        <v>58</v>
      </c>
      <c r="G343" s="3" t="s">
        <v>569</v>
      </c>
      <c r="H343" s="3" t="s">
        <v>570</v>
      </c>
      <c r="I343" s="3" t="s">
        <v>571</v>
      </c>
      <c r="J343" s="3" t="s">
        <v>61</v>
      </c>
      <c r="K343" s="3"/>
      <c r="L343" s="3"/>
      <c r="M343" s="3"/>
      <c r="N343" s="3"/>
      <c r="O343" s="3"/>
      <c r="P343" s="3"/>
      <c r="Q343" s="3"/>
      <c r="R343" s="3"/>
      <c r="S343" s="3"/>
    </row>
    <row r="344" spans="1:19" ht="39" x14ac:dyDescent="0.25">
      <c r="A344" s="18">
        <v>40817</v>
      </c>
      <c r="B344" s="18">
        <v>40817</v>
      </c>
      <c r="C344" s="2">
        <f t="shared" si="5"/>
        <v>1</v>
      </c>
      <c r="D344" s="6" t="s">
        <v>573</v>
      </c>
      <c r="E344" s="3" t="s">
        <v>574</v>
      </c>
      <c r="F344" s="4" t="s">
        <v>58</v>
      </c>
      <c r="G344" s="3" t="s">
        <v>575</v>
      </c>
      <c r="H344" s="3" t="s">
        <v>570</v>
      </c>
      <c r="I344" s="3" t="s">
        <v>571</v>
      </c>
      <c r="J344" s="3" t="s">
        <v>61</v>
      </c>
      <c r="K344" s="3"/>
      <c r="L344" s="3"/>
      <c r="M344" s="3"/>
      <c r="N344" s="3"/>
      <c r="O344" s="3"/>
      <c r="P344" s="3"/>
      <c r="Q344" s="3"/>
      <c r="R344" s="3"/>
      <c r="S344" s="3"/>
    </row>
    <row r="345" spans="1:19" ht="26.25" x14ac:dyDescent="0.25">
      <c r="A345" s="18">
        <v>40817</v>
      </c>
      <c r="B345" s="18">
        <v>40817</v>
      </c>
      <c r="C345" s="2">
        <f t="shared" si="5"/>
        <v>1</v>
      </c>
      <c r="D345" s="6" t="s">
        <v>577</v>
      </c>
      <c r="E345" s="3" t="s">
        <v>578</v>
      </c>
      <c r="F345" s="4" t="s">
        <v>58</v>
      </c>
      <c r="G345" s="3" t="s">
        <v>579</v>
      </c>
      <c r="H345" s="3"/>
      <c r="I345" s="3" t="s">
        <v>580</v>
      </c>
      <c r="J345" s="3" t="s">
        <v>61</v>
      </c>
      <c r="K345" s="3"/>
      <c r="L345" s="3"/>
      <c r="M345" s="3"/>
      <c r="N345" s="3"/>
      <c r="O345" s="3"/>
      <c r="P345" s="3"/>
      <c r="Q345" s="3"/>
      <c r="R345" s="3"/>
      <c r="S345" s="3"/>
    </row>
    <row r="346" spans="1:19" ht="39" x14ac:dyDescent="0.25">
      <c r="A346" s="18">
        <v>40817</v>
      </c>
      <c r="B346" s="18">
        <v>40817</v>
      </c>
      <c r="C346" s="2">
        <f t="shared" si="5"/>
        <v>1</v>
      </c>
      <c r="D346" s="6" t="s">
        <v>585</v>
      </c>
      <c r="E346" s="3" t="s">
        <v>586</v>
      </c>
      <c r="F346" s="4" t="s">
        <v>58</v>
      </c>
      <c r="G346" s="3" t="s">
        <v>587</v>
      </c>
      <c r="H346" s="3" t="s">
        <v>588</v>
      </c>
      <c r="I346" s="3" t="s">
        <v>589</v>
      </c>
      <c r="J346" s="3" t="s">
        <v>61</v>
      </c>
      <c r="K346" s="3"/>
      <c r="L346" s="3"/>
      <c r="M346" s="3"/>
      <c r="N346" s="3"/>
      <c r="O346" s="3"/>
      <c r="P346" s="3"/>
      <c r="Q346" s="3"/>
      <c r="R346" s="3"/>
      <c r="S346" s="3"/>
    </row>
    <row r="347" spans="1:19" ht="26.25" x14ac:dyDescent="0.25">
      <c r="A347" s="18">
        <v>40817</v>
      </c>
      <c r="B347" s="18">
        <v>40817</v>
      </c>
      <c r="C347" s="2">
        <f t="shared" si="5"/>
        <v>1</v>
      </c>
      <c r="D347" s="6" t="s">
        <v>591</v>
      </c>
      <c r="E347" s="3" t="s">
        <v>592</v>
      </c>
      <c r="F347" s="4" t="s">
        <v>58</v>
      </c>
      <c r="G347" s="3" t="s">
        <v>593</v>
      </c>
      <c r="H347" s="3"/>
      <c r="I347" s="3" t="s">
        <v>594</v>
      </c>
      <c r="J347" s="3" t="s">
        <v>61</v>
      </c>
      <c r="K347" s="3"/>
      <c r="L347" s="3"/>
      <c r="M347" s="3"/>
      <c r="N347" s="3"/>
      <c r="O347" s="3"/>
      <c r="P347" s="3"/>
      <c r="Q347" s="3"/>
      <c r="R347" s="3"/>
      <c r="S347" s="3"/>
    </row>
    <row r="348" spans="1:19" ht="39" x14ac:dyDescent="0.25">
      <c r="A348" s="18">
        <v>40817</v>
      </c>
      <c r="B348" s="18">
        <v>40817</v>
      </c>
      <c r="C348" s="2">
        <f t="shared" si="5"/>
        <v>1</v>
      </c>
      <c r="D348" s="6" t="s">
        <v>597</v>
      </c>
      <c r="E348" s="3" t="s">
        <v>598</v>
      </c>
      <c r="F348" s="4" t="s">
        <v>58</v>
      </c>
      <c r="G348" s="3" t="s">
        <v>599</v>
      </c>
      <c r="H348" s="3" t="s">
        <v>600</v>
      </c>
      <c r="I348" s="3" t="s">
        <v>227</v>
      </c>
      <c r="J348" s="3" t="s">
        <v>61</v>
      </c>
      <c r="K348" s="3"/>
      <c r="L348" s="3"/>
      <c r="M348" s="3"/>
      <c r="N348" s="3"/>
      <c r="O348" s="3"/>
      <c r="P348" s="3"/>
      <c r="Q348" s="3"/>
      <c r="R348" s="3"/>
      <c r="S348" s="3"/>
    </row>
    <row r="349" spans="1:19" ht="26.25" x14ac:dyDescent="0.25">
      <c r="A349" s="18">
        <v>40817</v>
      </c>
      <c r="B349" s="18">
        <v>40817</v>
      </c>
      <c r="C349" s="2">
        <f t="shared" si="5"/>
        <v>1</v>
      </c>
      <c r="D349" s="6" t="s">
        <v>604</v>
      </c>
      <c r="E349" s="3" t="s">
        <v>605</v>
      </c>
      <c r="F349" s="4" t="s">
        <v>58</v>
      </c>
      <c r="G349" s="3" t="s">
        <v>606</v>
      </c>
      <c r="H349" s="3" t="s">
        <v>607</v>
      </c>
      <c r="I349" s="3" t="s">
        <v>60</v>
      </c>
      <c r="J349" s="3" t="s">
        <v>61</v>
      </c>
      <c r="K349" s="3"/>
      <c r="L349" s="3"/>
      <c r="M349" s="3"/>
      <c r="N349" s="3"/>
      <c r="O349" s="3"/>
      <c r="P349" s="3"/>
      <c r="Q349" s="3"/>
      <c r="R349" s="3"/>
      <c r="S349" s="3"/>
    </row>
    <row r="350" spans="1:19" ht="39" x14ac:dyDescent="0.25">
      <c r="A350" s="18">
        <v>40817</v>
      </c>
      <c r="B350" s="18">
        <v>40817</v>
      </c>
      <c r="C350" s="2">
        <f t="shared" si="5"/>
        <v>1</v>
      </c>
      <c r="D350" s="6" t="s">
        <v>610</v>
      </c>
      <c r="E350" s="3" t="s">
        <v>611</v>
      </c>
      <c r="F350" s="4" t="s">
        <v>58</v>
      </c>
      <c r="G350" s="3" t="s">
        <v>612</v>
      </c>
      <c r="H350" s="3"/>
      <c r="I350" s="3" t="s">
        <v>613</v>
      </c>
      <c r="J350" s="3" t="s">
        <v>61</v>
      </c>
      <c r="K350" s="3"/>
      <c r="L350" s="3"/>
      <c r="M350" s="3"/>
      <c r="N350" s="3"/>
      <c r="O350" s="3"/>
      <c r="P350" s="3"/>
      <c r="Q350" s="3"/>
      <c r="R350" s="3"/>
      <c r="S350" s="3"/>
    </row>
    <row r="351" spans="1:19" ht="26.25" x14ac:dyDescent="0.25">
      <c r="A351" s="18">
        <v>40817</v>
      </c>
      <c r="B351" s="18">
        <v>40817</v>
      </c>
      <c r="C351" s="2">
        <f t="shared" si="5"/>
        <v>1</v>
      </c>
      <c r="D351" s="6" t="s">
        <v>617</v>
      </c>
      <c r="E351" s="3" t="s">
        <v>618</v>
      </c>
      <c r="F351" s="4" t="s">
        <v>58</v>
      </c>
      <c r="G351" s="3" t="s">
        <v>619</v>
      </c>
      <c r="H351" s="3" t="s">
        <v>620</v>
      </c>
      <c r="I351" s="3" t="s">
        <v>303</v>
      </c>
      <c r="J351" s="3" t="s">
        <v>61</v>
      </c>
      <c r="K351" s="3"/>
      <c r="L351" s="3"/>
      <c r="M351" s="3"/>
      <c r="N351" s="3"/>
      <c r="O351" s="3"/>
      <c r="P351" s="3"/>
      <c r="Q351" s="3"/>
      <c r="R351" s="3"/>
      <c r="S351" s="3"/>
    </row>
    <row r="352" spans="1:19" ht="26.25" x14ac:dyDescent="0.25">
      <c r="A352" s="18">
        <v>40817</v>
      </c>
      <c r="B352" s="18">
        <v>40817</v>
      </c>
      <c r="C352" s="2">
        <f t="shared" si="5"/>
        <v>1</v>
      </c>
      <c r="D352" s="6" t="s">
        <v>625</v>
      </c>
      <c r="E352" s="3" t="s">
        <v>625</v>
      </c>
      <c r="F352" s="5" t="s">
        <v>58</v>
      </c>
      <c r="G352" s="3" t="s">
        <v>626</v>
      </c>
      <c r="H352" s="3"/>
      <c r="I352" s="3" t="s">
        <v>60</v>
      </c>
      <c r="J352" s="3" t="s">
        <v>61</v>
      </c>
      <c r="K352" s="3"/>
      <c r="L352" s="3"/>
      <c r="M352" s="3"/>
      <c r="N352" s="3"/>
      <c r="O352" s="3"/>
      <c r="P352" s="3"/>
      <c r="Q352" s="3"/>
      <c r="R352" s="3"/>
      <c r="S352" s="3"/>
    </row>
    <row r="353" spans="1:19" ht="51.75" x14ac:dyDescent="0.25">
      <c r="A353" s="18">
        <v>40817</v>
      </c>
      <c r="B353" s="18">
        <v>40817</v>
      </c>
      <c r="C353" s="2">
        <f t="shared" si="5"/>
        <v>1</v>
      </c>
      <c r="D353" s="6" t="s">
        <v>629</v>
      </c>
      <c r="E353" s="3" t="s">
        <v>630</v>
      </c>
      <c r="F353" s="4" t="s">
        <v>58</v>
      </c>
      <c r="G353" s="3" t="s">
        <v>631</v>
      </c>
      <c r="H353" s="3"/>
      <c r="I353" s="3" t="s">
        <v>210</v>
      </c>
      <c r="J353" s="3" t="s">
        <v>61</v>
      </c>
      <c r="K353" s="3"/>
      <c r="L353" s="3"/>
      <c r="M353" s="3"/>
      <c r="N353" s="3"/>
      <c r="O353" s="3"/>
      <c r="P353" s="3"/>
      <c r="Q353" s="3"/>
      <c r="R353" s="3"/>
      <c r="S353" s="3"/>
    </row>
    <row r="354" spans="1:19" ht="51.75" x14ac:dyDescent="0.25">
      <c r="A354" s="18">
        <v>40817</v>
      </c>
      <c r="B354" s="18">
        <v>40817</v>
      </c>
      <c r="C354" s="2">
        <f t="shared" si="5"/>
        <v>1</v>
      </c>
      <c r="D354" s="6" t="s">
        <v>632</v>
      </c>
      <c r="E354" s="3" t="s">
        <v>633</v>
      </c>
      <c r="F354" s="4" t="s">
        <v>58</v>
      </c>
      <c r="G354" s="3" t="s">
        <v>634</v>
      </c>
      <c r="H354" s="3" t="s">
        <v>635</v>
      </c>
      <c r="I354" s="3" t="s">
        <v>636</v>
      </c>
      <c r="J354" s="3" t="s">
        <v>61</v>
      </c>
      <c r="K354" s="3"/>
      <c r="L354" s="3"/>
      <c r="M354" s="3"/>
      <c r="N354" s="3"/>
      <c r="O354" s="3"/>
      <c r="P354" s="3"/>
      <c r="Q354" s="3"/>
      <c r="R354" s="3"/>
      <c r="S354" s="3"/>
    </row>
    <row r="355" spans="1:19" ht="26.25" x14ac:dyDescent="0.25">
      <c r="A355" s="18">
        <v>40817</v>
      </c>
      <c r="B355" s="18">
        <v>40817</v>
      </c>
      <c r="C355" s="2">
        <f t="shared" si="5"/>
        <v>1</v>
      </c>
      <c r="D355" s="6" t="s">
        <v>641</v>
      </c>
      <c r="E355" s="3" t="s">
        <v>642</v>
      </c>
      <c r="F355" s="4" t="s">
        <v>58</v>
      </c>
      <c r="G355" s="3" t="s">
        <v>643</v>
      </c>
      <c r="H355" s="3" t="s">
        <v>644</v>
      </c>
      <c r="I355" s="3" t="s">
        <v>34</v>
      </c>
      <c r="J355" s="3" t="s">
        <v>61</v>
      </c>
      <c r="K355" s="3"/>
      <c r="L355" s="3"/>
      <c r="M355" s="3"/>
      <c r="N355" s="3"/>
      <c r="O355" s="3"/>
      <c r="P355" s="3"/>
      <c r="Q355" s="3"/>
      <c r="R355" s="3"/>
      <c r="S355" s="3"/>
    </row>
    <row r="356" spans="1:19" ht="51.75" x14ac:dyDescent="0.25">
      <c r="A356" s="18">
        <v>40817</v>
      </c>
      <c r="B356" s="18">
        <v>40817</v>
      </c>
      <c r="C356" s="2">
        <f t="shared" si="5"/>
        <v>1</v>
      </c>
      <c r="D356" s="6" t="s">
        <v>647</v>
      </c>
      <c r="E356" s="3" t="s">
        <v>648</v>
      </c>
      <c r="F356" s="4" t="s">
        <v>58</v>
      </c>
      <c r="G356" s="3" t="s">
        <v>649</v>
      </c>
      <c r="H356" s="3" t="s">
        <v>650</v>
      </c>
      <c r="I356" s="3" t="s">
        <v>407</v>
      </c>
      <c r="J356" s="3" t="s">
        <v>61</v>
      </c>
      <c r="K356" s="3"/>
      <c r="L356" s="3"/>
      <c r="M356" s="3"/>
      <c r="N356" s="3"/>
      <c r="O356" s="3"/>
      <c r="P356" s="3"/>
      <c r="Q356" s="3"/>
      <c r="R356" s="3"/>
      <c r="S356" s="3"/>
    </row>
    <row r="357" spans="1:19" ht="39" x14ac:dyDescent="0.25">
      <c r="A357" s="1">
        <v>40818</v>
      </c>
      <c r="B357" s="1">
        <v>40818</v>
      </c>
      <c r="C357" s="2">
        <f t="shared" si="5"/>
        <v>1</v>
      </c>
      <c r="D357" s="6" t="s">
        <v>735</v>
      </c>
      <c r="E357" s="3" t="s">
        <v>736</v>
      </c>
      <c r="F357" s="4" t="s">
        <v>58</v>
      </c>
      <c r="G357" s="3" t="s">
        <v>737</v>
      </c>
      <c r="H357" s="3" t="s">
        <v>738</v>
      </c>
      <c r="I357" s="3" t="s">
        <v>60</v>
      </c>
      <c r="J357" s="3" t="s">
        <v>61</v>
      </c>
      <c r="K357" s="3"/>
      <c r="L357" s="3"/>
      <c r="M357" s="3"/>
      <c r="N357" s="3"/>
      <c r="O357" s="3"/>
      <c r="P357" s="3"/>
      <c r="Q357" s="3"/>
      <c r="R357" s="3"/>
      <c r="S357" s="3"/>
    </row>
    <row r="358" spans="1:19" ht="39" x14ac:dyDescent="0.25">
      <c r="A358" s="1">
        <v>40818</v>
      </c>
      <c r="B358" s="1">
        <v>40818</v>
      </c>
      <c r="C358" s="2">
        <f t="shared" si="5"/>
        <v>1</v>
      </c>
      <c r="D358" s="6" t="s">
        <v>741</v>
      </c>
      <c r="E358" s="3" t="s">
        <v>742</v>
      </c>
      <c r="F358" s="4" t="s">
        <v>58</v>
      </c>
      <c r="G358" s="3" t="s">
        <v>271</v>
      </c>
      <c r="H358" s="3"/>
      <c r="I358" s="3" t="s">
        <v>210</v>
      </c>
      <c r="J358" s="3" t="s">
        <v>61</v>
      </c>
      <c r="K358" s="3"/>
      <c r="L358" s="3"/>
      <c r="M358" s="3"/>
      <c r="N358" s="3"/>
      <c r="O358" s="3"/>
      <c r="P358" s="3"/>
      <c r="Q358" s="3"/>
      <c r="R358" s="3"/>
      <c r="S358" s="3"/>
    </row>
    <row r="359" spans="1:19" ht="51.75" x14ac:dyDescent="0.25">
      <c r="A359" s="1">
        <v>40819</v>
      </c>
      <c r="B359" s="1">
        <v>40819</v>
      </c>
      <c r="C359" s="2">
        <f t="shared" si="5"/>
        <v>1</v>
      </c>
      <c r="D359" s="6" t="s">
        <v>758</v>
      </c>
      <c r="E359" s="3" t="s">
        <v>759</v>
      </c>
      <c r="F359" s="4" t="s">
        <v>58</v>
      </c>
      <c r="G359" s="3" t="s">
        <v>760</v>
      </c>
      <c r="H359" s="3" t="s">
        <v>761</v>
      </c>
      <c r="I359" s="3" t="s">
        <v>448</v>
      </c>
      <c r="J359" s="3" t="s">
        <v>61</v>
      </c>
      <c r="K359" s="3"/>
      <c r="L359" s="3"/>
      <c r="M359" s="3"/>
      <c r="N359" s="3"/>
      <c r="O359" s="3"/>
      <c r="P359" s="3"/>
      <c r="Q359" s="3"/>
      <c r="R359" s="3"/>
      <c r="S359" s="3"/>
    </row>
    <row r="360" spans="1:19" ht="64.5" x14ac:dyDescent="0.25">
      <c r="A360" s="1">
        <v>40819</v>
      </c>
      <c r="B360" s="1">
        <v>40819</v>
      </c>
      <c r="C360" s="2">
        <f t="shared" si="5"/>
        <v>1</v>
      </c>
      <c r="D360" s="6" t="s">
        <v>764</v>
      </c>
      <c r="E360" s="3" t="s">
        <v>765</v>
      </c>
      <c r="F360" s="4" t="s">
        <v>58</v>
      </c>
      <c r="G360" s="3" t="s">
        <v>766</v>
      </c>
      <c r="H360" s="3" t="s">
        <v>767</v>
      </c>
      <c r="I360" s="3" t="s">
        <v>768</v>
      </c>
      <c r="J360" s="3" t="s">
        <v>61</v>
      </c>
      <c r="K360" s="3"/>
      <c r="L360" s="3"/>
      <c r="M360" s="3"/>
      <c r="N360" s="3"/>
      <c r="O360" s="3"/>
      <c r="P360" s="3"/>
      <c r="Q360" s="3"/>
      <c r="R360" s="3"/>
      <c r="S360" s="3"/>
    </row>
    <row r="361" spans="1:19" ht="51.75" x14ac:dyDescent="0.25">
      <c r="A361" s="1">
        <v>40820</v>
      </c>
      <c r="B361" s="1">
        <v>40820</v>
      </c>
      <c r="C361" s="2">
        <f t="shared" si="5"/>
        <v>1</v>
      </c>
      <c r="D361" s="6" t="s">
        <v>776</v>
      </c>
      <c r="E361" s="3" t="s">
        <v>3993</v>
      </c>
      <c r="F361" s="4" t="s">
        <v>58</v>
      </c>
      <c r="G361" s="3" t="s">
        <v>777</v>
      </c>
      <c r="H361" s="3" t="s">
        <v>321</v>
      </c>
      <c r="I361" s="3" t="s">
        <v>227</v>
      </c>
      <c r="J361" s="3" t="s">
        <v>61</v>
      </c>
      <c r="K361" s="3"/>
      <c r="L361" s="3"/>
      <c r="M361" s="3"/>
      <c r="N361" s="3"/>
      <c r="O361" s="3"/>
      <c r="P361" s="3"/>
      <c r="Q361" s="3"/>
      <c r="R361" s="3"/>
      <c r="S361" s="3"/>
    </row>
    <row r="362" spans="1:19" ht="64.5" x14ac:dyDescent="0.25">
      <c r="A362" s="1">
        <v>40822</v>
      </c>
      <c r="B362" s="1">
        <v>40822</v>
      </c>
      <c r="C362" s="2">
        <f t="shared" si="5"/>
        <v>1</v>
      </c>
      <c r="D362" s="6" t="s">
        <v>802</v>
      </c>
      <c r="E362" s="3" t="s">
        <v>803</v>
      </c>
      <c r="F362" s="4" t="s">
        <v>58</v>
      </c>
      <c r="G362" s="3" t="s">
        <v>804</v>
      </c>
      <c r="H362" s="3" t="s">
        <v>805</v>
      </c>
      <c r="I362" s="3" t="s">
        <v>806</v>
      </c>
      <c r="J362" s="3" t="s">
        <v>61</v>
      </c>
      <c r="K362" s="3"/>
      <c r="L362" s="3"/>
      <c r="M362" s="3"/>
      <c r="N362" s="3"/>
      <c r="O362" s="3"/>
      <c r="P362" s="3"/>
      <c r="Q362" s="3"/>
      <c r="R362" s="3"/>
      <c r="S362" s="3"/>
    </row>
    <row r="363" spans="1:19" ht="26.25" x14ac:dyDescent="0.25">
      <c r="A363" s="1">
        <v>40822</v>
      </c>
      <c r="B363" s="1">
        <v>40822</v>
      </c>
      <c r="C363" s="2">
        <f t="shared" si="5"/>
        <v>1</v>
      </c>
      <c r="D363" s="6" t="s">
        <v>809</v>
      </c>
      <c r="E363" s="3" t="s">
        <v>809</v>
      </c>
      <c r="F363" s="4" t="s">
        <v>58</v>
      </c>
      <c r="G363" s="3" t="s">
        <v>810</v>
      </c>
      <c r="H363" s="3" t="s">
        <v>811</v>
      </c>
      <c r="I363" s="3" t="s">
        <v>60</v>
      </c>
      <c r="J363" s="3" t="s">
        <v>61</v>
      </c>
      <c r="K363" s="3"/>
      <c r="L363" s="3"/>
      <c r="M363" s="3"/>
      <c r="N363" s="3"/>
      <c r="O363" s="3"/>
      <c r="P363" s="3"/>
      <c r="Q363" s="3"/>
      <c r="R363" s="3"/>
      <c r="S363" s="3"/>
    </row>
    <row r="364" spans="1:19" ht="51.75" x14ac:dyDescent="0.25">
      <c r="A364" s="1">
        <v>40822</v>
      </c>
      <c r="B364" s="1">
        <v>40822</v>
      </c>
      <c r="C364" s="2">
        <f t="shared" si="5"/>
        <v>1</v>
      </c>
      <c r="D364" s="6" t="s">
        <v>815</v>
      </c>
      <c r="E364" s="3" t="s">
        <v>816</v>
      </c>
      <c r="F364" s="4" t="s">
        <v>58</v>
      </c>
      <c r="G364" s="3" t="s">
        <v>817</v>
      </c>
      <c r="H364" s="3"/>
      <c r="I364" s="3" t="s">
        <v>594</v>
      </c>
      <c r="J364" s="3" t="s">
        <v>61</v>
      </c>
      <c r="K364" s="3"/>
      <c r="L364" s="3"/>
      <c r="M364" s="3"/>
      <c r="N364" s="3"/>
      <c r="O364" s="3"/>
      <c r="P364" s="3"/>
      <c r="Q364" s="3"/>
      <c r="R364" s="3"/>
      <c r="S364" s="3"/>
    </row>
    <row r="365" spans="1:19" ht="51.75" x14ac:dyDescent="0.25">
      <c r="A365" s="1">
        <v>40822</v>
      </c>
      <c r="B365" s="1">
        <v>40822</v>
      </c>
      <c r="C365" s="2">
        <f t="shared" si="5"/>
        <v>1</v>
      </c>
      <c r="D365" s="6" t="s">
        <v>822</v>
      </c>
      <c r="E365" s="3" t="s">
        <v>823</v>
      </c>
      <c r="F365" s="4" t="s">
        <v>58</v>
      </c>
      <c r="G365" s="3" t="s">
        <v>824</v>
      </c>
      <c r="H365" s="3" t="s">
        <v>825</v>
      </c>
      <c r="I365" s="3" t="s">
        <v>71</v>
      </c>
      <c r="J365" s="3" t="s">
        <v>61</v>
      </c>
      <c r="K365" s="3"/>
      <c r="L365" s="3"/>
      <c r="M365" s="3"/>
      <c r="N365" s="3"/>
      <c r="O365" s="3"/>
      <c r="P365" s="3"/>
      <c r="Q365" s="3"/>
      <c r="R365" s="3"/>
      <c r="S365" s="3"/>
    </row>
    <row r="366" spans="1:19" ht="39" x14ac:dyDescent="0.25">
      <c r="A366" s="1">
        <v>40823</v>
      </c>
      <c r="B366" s="1">
        <v>40823</v>
      </c>
      <c r="C366" s="2">
        <f t="shared" si="5"/>
        <v>1</v>
      </c>
      <c r="D366" s="6" t="s">
        <v>835</v>
      </c>
      <c r="E366" s="3" t="s">
        <v>836</v>
      </c>
      <c r="F366" s="4" t="s">
        <v>58</v>
      </c>
      <c r="G366" s="3" t="s">
        <v>837</v>
      </c>
      <c r="H366" s="3"/>
      <c r="I366" s="3" t="s">
        <v>60</v>
      </c>
      <c r="J366" s="3" t="s">
        <v>61</v>
      </c>
      <c r="K366" s="3"/>
      <c r="L366" s="3"/>
      <c r="M366" s="3"/>
      <c r="N366" s="3"/>
      <c r="O366" s="3"/>
      <c r="P366" s="3"/>
      <c r="Q366" s="3"/>
      <c r="R366" s="3"/>
      <c r="S366" s="3"/>
    </row>
    <row r="367" spans="1:19" ht="26.25" x14ac:dyDescent="0.25">
      <c r="A367" s="1">
        <v>40823</v>
      </c>
      <c r="B367" s="1">
        <v>40823</v>
      </c>
      <c r="C367" s="2">
        <f t="shared" si="5"/>
        <v>1</v>
      </c>
      <c r="D367" s="6" t="s">
        <v>840</v>
      </c>
      <c r="E367" s="3" t="s">
        <v>841</v>
      </c>
      <c r="F367" s="4" t="s">
        <v>58</v>
      </c>
      <c r="G367" s="3" t="s">
        <v>842</v>
      </c>
      <c r="H367" s="3" t="s">
        <v>843</v>
      </c>
      <c r="I367" s="3" t="s">
        <v>105</v>
      </c>
      <c r="J367" s="3" t="s">
        <v>61</v>
      </c>
      <c r="K367" s="3"/>
      <c r="L367" s="3"/>
      <c r="M367" s="3"/>
      <c r="N367" s="3"/>
      <c r="O367" s="3"/>
      <c r="P367" s="3"/>
      <c r="Q367" s="3"/>
      <c r="R367" s="3"/>
      <c r="S367" s="3"/>
    </row>
    <row r="368" spans="1:19" ht="26.25" x14ac:dyDescent="0.25">
      <c r="A368" s="1">
        <v>40823</v>
      </c>
      <c r="B368" s="1">
        <v>40823</v>
      </c>
      <c r="C368" s="2">
        <f t="shared" si="5"/>
        <v>1</v>
      </c>
      <c r="D368" s="6" t="s">
        <v>846</v>
      </c>
      <c r="E368" s="3" t="s">
        <v>847</v>
      </c>
      <c r="F368" s="4" t="s">
        <v>58</v>
      </c>
      <c r="G368" s="3" t="s">
        <v>848</v>
      </c>
      <c r="H368" s="3"/>
      <c r="I368" s="3" t="s">
        <v>71</v>
      </c>
      <c r="J368" s="3" t="s">
        <v>61</v>
      </c>
      <c r="K368" s="3"/>
      <c r="L368" s="3"/>
      <c r="M368" s="3"/>
      <c r="N368" s="3"/>
      <c r="O368" s="3"/>
      <c r="P368" s="3"/>
      <c r="Q368" s="3"/>
      <c r="R368" s="3"/>
      <c r="S368" s="3"/>
    </row>
    <row r="369" spans="1:19" ht="39" x14ac:dyDescent="0.25">
      <c r="A369" s="1">
        <v>40823</v>
      </c>
      <c r="B369" s="1">
        <v>40823</v>
      </c>
      <c r="C369" s="2">
        <f t="shared" si="5"/>
        <v>1</v>
      </c>
      <c r="D369" s="6" t="s">
        <v>851</v>
      </c>
      <c r="E369" s="3" t="s">
        <v>851</v>
      </c>
      <c r="F369" s="4" t="s">
        <v>58</v>
      </c>
      <c r="G369" s="3" t="s">
        <v>852</v>
      </c>
      <c r="H369" s="3" t="s">
        <v>853</v>
      </c>
      <c r="I369" s="3" t="s">
        <v>60</v>
      </c>
      <c r="J369" s="3" t="s">
        <v>61</v>
      </c>
      <c r="K369" s="3"/>
      <c r="L369" s="3"/>
      <c r="M369" s="3"/>
      <c r="N369" s="3"/>
      <c r="O369" s="3"/>
      <c r="P369" s="3"/>
      <c r="Q369" s="3"/>
      <c r="R369" s="3"/>
      <c r="S369" s="3"/>
    </row>
    <row r="370" spans="1:19" ht="51.75" x14ac:dyDescent="0.25">
      <c r="A370" s="1">
        <v>40823</v>
      </c>
      <c r="B370" s="1">
        <v>40823</v>
      </c>
      <c r="C370" s="2">
        <f t="shared" si="5"/>
        <v>1</v>
      </c>
      <c r="D370" s="6" t="s">
        <v>856</v>
      </c>
      <c r="E370" s="3" t="s">
        <v>857</v>
      </c>
      <c r="F370" s="4" t="s">
        <v>58</v>
      </c>
      <c r="G370" s="3" t="s">
        <v>858</v>
      </c>
      <c r="H370" s="3" t="s">
        <v>859</v>
      </c>
      <c r="I370" s="3" t="s">
        <v>34</v>
      </c>
      <c r="J370" s="3" t="s">
        <v>61</v>
      </c>
      <c r="K370" s="3"/>
      <c r="L370" s="3"/>
      <c r="M370" s="3"/>
      <c r="N370" s="3"/>
      <c r="O370" s="3"/>
      <c r="P370" s="3"/>
      <c r="Q370" s="3"/>
      <c r="R370" s="3"/>
      <c r="S370" s="3"/>
    </row>
    <row r="371" spans="1:19" ht="39" x14ac:dyDescent="0.25">
      <c r="A371" s="1">
        <v>40824</v>
      </c>
      <c r="B371" s="1">
        <v>40824</v>
      </c>
      <c r="C371" s="2">
        <f t="shared" si="5"/>
        <v>1</v>
      </c>
      <c r="D371" s="6" t="s">
        <v>941</v>
      </c>
      <c r="E371" s="3" t="s">
        <v>942</v>
      </c>
      <c r="F371" s="4" t="s">
        <v>58</v>
      </c>
      <c r="G371" s="3" t="s">
        <v>943</v>
      </c>
      <c r="H371" s="3" t="s">
        <v>944</v>
      </c>
      <c r="I371" s="3" t="s">
        <v>227</v>
      </c>
      <c r="J371" s="3" t="s">
        <v>61</v>
      </c>
      <c r="K371" s="3"/>
      <c r="L371" s="3"/>
      <c r="M371" s="3"/>
      <c r="N371" s="3"/>
      <c r="O371" s="3"/>
      <c r="P371" s="3"/>
      <c r="Q371" s="3"/>
      <c r="R371" s="3"/>
      <c r="S371" s="3"/>
    </row>
    <row r="372" spans="1:19" ht="26.25" x14ac:dyDescent="0.25">
      <c r="A372" s="1">
        <v>40824</v>
      </c>
      <c r="B372" s="1">
        <v>40824</v>
      </c>
      <c r="C372" s="2">
        <f t="shared" si="5"/>
        <v>1</v>
      </c>
      <c r="D372" s="6" t="s">
        <v>945</v>
      </c>
      <c r="E372" s="3" t="s">
        <v>946</v>
      </c>
      <c r="F372" s="4" t="s">
        <v>58</v>
      </c>
      <c r="G372" s="3" t="s">
        <v>947</v>
      </c>
      <c r="H372" s="3" t="s">
        <v>948</v>
      </c>
      <c r="I372" s="3" t="s">
        <v>315</v>
      </c>
      <c r="J372" s="3" t="s">
        <v>61</v>
      </c>
      <c r="K372" s="3"/>
      <c r="L372" s="3"/>
      <c r="M372" s="3"/>
      <c r="N372" s="3"/>
      <c r="O372" s="3"/>
      <c r="P372" s="3"/>
      <c r="Q372" s="3"/>
      <c r="R372" s="3"/>
      <c r="S372" s="3"/>
    </row>
    <row r="373" spans="1:19" ht="51.75" x14ac:dyDescent="0.25">
      <c r="A373" s="1">
        <v>40824</v>
      </c>
      <c r="B373" s="1">
        <v>40824</v>
      </c>
      <c r="C373" s="2">
        <f t="shared" si="5"/>
        <v>1</v>
      </c>
      <c r="D373" s="6" t="s">
        <v>952</v>
      </c>
      <c r="E373" s="3" t="s">
        <v>953</v>
      </c>
      <c r="F373" s="4" t="s">
        <v>58</v>
      </c>
      <c r="G373" s="3" t="s">
        <v>954</v>
      </c>
      <c r="H373" s="3" t="s">
        <v>955</v>
      </c>
      <c r="I373" s="3" t="s">
        <v>956</v>
      </c>
      <c r="J373" s="3" t="s">
        <v>61</v>
      </c>
      <c r="K373" s="3"/>
      <c r="L373" s="3"/>
      <c r="M373" s="3"/>
      <c r="N373" s="3"/>
      <c r="O373" s="3"/>
      <c r="P373" s="3"/>
      <c r="Q373" s="3"/>
      <c r="R373" s="3"/>
      <c r="S373" s="3"/>
    </row>
    <row r="374" spans="1:19" ht="51.75" x14ac:dyDescent="0.25">
      <c r="A374" s="1">
        <v>40824</v>
      </c>
      <c r="B374" s="1">
        <v>40824</v>
      </c>
      <c r="C374" s="2">
        <f t="shared" si="5"/>
        <v>1</v>
      </c>
      <c r="D374" s="6" t="s">
        <v>959</v>
      </c>
      <c r="E374" s="3" t="s">
        <v>960</v>
      </c>
      <c r="F374" s="4" t="s">
        <v>58</v>
      </c>
      <c r="G374" s="3" t="s">
        <v>961</v>
      </c>
      <c r="H374" s="3" t="s">
        <v>962</v>
      </c>
      <c r="I374" s="3" t="s">
        <v>963</v>
      </c>
      <c r="J374" s="3" t="s">
        <v>61</v>
      </c>
      <c r="K374" s="3"/>
      <c r="L374" s="3"/>
      <c r="M374" s="3"/>
      <c r="N374" s="3"/>
      <c r="O374" s="3"/>
      <c r="P374" s="3"/>
      <c r="Q374" s="3"/>
      <c r="R374" s="3"/>
      <c r="S374" s="3"/>
    </row>
    <row r="375" spans="1:19" ht="39" x14ac:dyDescent="0.25">
      <c r="A375" s="1">
        <v>40824</v>
      </c>
      <c r="B375" s="1">
        <v>40824</v>
      </c>
      <c r="C375" s="2">
        <f t="shared" si="5"/>
        <v>1</v>
      </c>
      <c r="D375" s="6" t="s">
        <v>967</v>
      </c>
      <c r="E375" s="3" t="s">
        <v>967</v>
      </c>
      <c r="F375" s="4" t="s">
        <v>58</v>
      </c>
      <c r="G375" s="3" t="s">
        <v>968</v>
      </c>
      <c r="H375" s="3" t="s">
        <v>969</v>
      </c>
      <c r="I375" s="3" t="s">
        <v>60</v>
      </c>
      <c r="J375" s="3" t="s">
        <v>61</v>
      </c>
      <c r="K375" s="3"/>
      <c r="L375" s="3"/>
      <c r="M375" s="3"/>
      <c r="N375" s="3"/>
      <c r="O375" s="3"/>
      <c r="P375" s="3"/>
      <c r="Q375" s="3"/>
      <c r="R375" s="3"/>
      <c r="S375" s="3"/>
    </row>
    <row r="376" spans="1:19" ht="39" x14ac:dyDescent="0.25">
      <c r="A376" s="1">
        <v>40824</v>
      </c>
      <c r="B376" s="1">
        <v>40824</v>
      </c>
      <c r="C376" s="2">
        <f t="shared" si="5"/>
        <v>1</v>
      </c>
      <c r="D376" s="6" t="s">
        <v>972</v>
      </c>
      <c r="E376" s="3" t="s">
        <v>973</v>
      </c>
      <c r="F376" s="4" t="s">
        <v>58</v>
      </c>
      <c r="G376" s="3" t="s">
        <v>919</v>
      </c>
      <c r="H376" s="3" t="s">
        <v>974</v>
      </c>
      <c r="I376" s="3" t="s">
        <v>913</v>
      </c>
      <c r="J376" s="3" t="s">
        <v>61</v>
      </c>
      <c r="K376" s="3"/>
      <c r="L376" s="3"/>
      <c r="M376" s="3"/>
      <c r="N376" s="3"/>
      <c r="O376" s="3"/>
      <c r="P376" s="3"/>
      <c r="Q376" s="3"/>
      <c r="R376" s="3"/>
      <c r="S376" s="3"/>
    </row>
    <row r="377" spans="1:19" ht="39" x14ac:dyDescent="0.25">
      <c r="A377" s="1">
        <v>40824</v>
      </c>
      <c r="B377" s="1">
        <v>40824</v>
      </c>
      <c r="C377" s="2">
        <f t="shared" si="5"/>
        <v>1</v>
      </c>
      <c r="D377" s="6" t="s">
        <v>975</v>
      </c>
      <c r="E377" s="3" t="s">
        <v>976</v>
      </c>
      <c r="F377" s="4" t="s">
        <v>58</v>
      </c>
      <c r="G377" s="3" t="s">
        <v>977</v>
      </c>
      <c r="H377" s="3"/>
      <c r="I377" s="3" t="s">
        <v>978</v>
      </c>
      <c r="J377" s="3" t="s">
        <v>61</v>
      </c>
      <c r="K377" s="3"/>
      <c r="L377" s="3"/>
      <c r="M377" s="3"/>
      <c r="N377" s="3"/>
      <c r="O377" s="3"/>
      <c r="P377" s="3"/>
      <c r="Q377" s="3"/>
      <c r="R377" s="3"/>
      <c r="S377" s="3"/>
    </row>
    <row r="378" spans="1:19" ht="51.75" x14ac:dyDescent="0.25">
      <c r="A378" s="1">
        <v>40824</v>
      </c>
      <c r="B378" s="1">
        <v>40824</v>
      </c>
      <c r="C378" s="2">
        <f t="shared" si="5"/>
        <v>1</v>
      </c>
      <c r="D378" s="6" t="s">
        <v>983</v>
      </c>
      <c r="E378" s="3" t="s">
        <v>984</v>
      </c>
      <c r="F378" s="4" t="s">
        <v>58</v>
      </c>
      <c r="G378" s="3" t="s">
        <v>985</v>
      </c>
      <c r="H378" s="3" t="s">
        <v>974</v>
      </c>
      <c r="I378" s="3" t="s">
        <v>986</v>
      </c>
      <c r="J378" s="3" t="s">
        <v>61</v>
      </c>
      <c r="K378" s="3"/>
      <c r="L378" s="3"/>
      <c r="M378" s="3"/>
      <c r="N378" s="3"/>
      <c r="O378" s="3"/>
      <c r="P378" s="3"/>
      <c r="Q378" s="3"/>
      <c r="R378" s="3"/>
      <c r="S378" s="3"/>
    </row>
    <row r="379" spans="1:19" ht="26.25" x14ac:dyDescent="0.25">
      <c r="A379" s="1">
        <v>40824</v>
      </c>
      <c r="B379" s="1">
        <v>40824</v>
      </c>
      <c r="C379" s="2">
        <f t="shared" si="5"/>
        <v>1</v>
      </c>
      <c r="D379" s="6" t="s">
        <v>989</v>
      </c>
      <c r="E379" s="3" t="s">
        <v>847</v>
      </c>
      <c r="F379" s="4" t="s">
        <v>58</v>
      </c>
      <c r="G379" s="3" t="s">
        <v>848</v>
      </c>
      <c r="H379" s="3"/>
      <c r="I379" s="3" t="s">
        <v>71</v>
      </c>
      <c r="J379" s="3" t="s">
        <v>61</v>
      </c>
      <c r="K379" s="3"/>
      <c r="L379" s="3"/>
      <c r="M379" s="3"/>
      <c r="N379" s="3"/>
      <c r="O379" s="3"/>
      <c r="P379" s="3"/>
      <c r="Q379" s="3"/>
      <c r="R379" s="3"/>
      <c r="S379" s="3"/>
    </row>
    <row r="380" spans="1:19" ht="39" x14ac:dyDescent="0.25">
      <c r="A380" s="1">
        <v>40824</v>
      </c>
      <c r="B380" s="1">
        <v>40824</v>
      </c>
      <c r="C380" s="2">
        <f t="shared" si="5"/>
        <v>1</v>
      </c>
      <c r="D380" s="6" t="s">
        <v>990</v>
      </c>
      <c r="E380" s="3" t="s">
        <v>991</v>
      </c>
      <c r="F380" s="4" t="s">
        <v>58</v>
      </c>
      <c r="G380" s="3" t="s">
        <v>992</v>
      </c>
      <c r="H380" s="3"/>
      <c r="I380" s="3" t="s">
        <v>993</v>
      </c>
      <c r="J380" s="3" t="s">
        <v>61</v>
      </c>
      <c r="K380" s="3"/>
      <c r="L380" s="3"/>
      <c r="M380" s="3"/>
      <c r="N380" s="3"/>
      <c r="O380" s="3"/>
      <c r="P380" s="3"/>
      <c r="Q380" s="3"/>
      <c r="R380" s="3"/>
      <c r="S380" s="3"/>
    </row>
    <row r="381" spans="1:19" ht="26.25" x14ac:dyDescent="0.25">
      <c r="A381" s="1">
        <v>40824</v>
      </c>
      <c r="B381" s="1">
        <v>40824</v>
      </c>
      <c r="C381" s="2">
        <f t="shared" si="5"/>
        <v>1</v>
      </c>
      <c r="D381" s="6" t="s">
        <v>617</v>
      </c>
      <c r="E381" s="3" t="s">
        <v>997</v>
      </c>
      <c r="F381" s="4" t="s">
        <v>58</v>
      </c>
      <c r="G381" s="3" t="s">
        <v>619</v>
      </c>
      <c r="H381" s="3" t="s">
        <v>620</v>
      </c>
      <c r="I381" s="3" t="s">
        <v>303</v>
      </c>
      <c r="J381" s="3" t="s">
        <v>61</v>
      </c>
      <c r="K381" s="3"/>
      <c r="L381" s="3"/>
      <c r="M381" s="3"/>
      <c r="N381" s="3"/>
      <c r="O381" s="3"/>
      <c r="P381" s="3"/>
      <c r="Q381" s="3"/>
      <c r="R381" s="3"/>
      <c r="S381" s="3"/>
    </row>
    <row r="382" spans="1:19" ht="51.75" x14ac:dyDescent="0.25">
      <c r="A382" s="1">
        <v>40824</v>
      </c>
      <c r="B382" s="1">
        <v>40824</v>
      </c>
      <c r="C382" s="2">
        <f t="shared" si="5"/>
        <v>1</v>
      </c>
      <c r="D382" s="6" t="s">
        <v>998</v>
      </c>
      <c r="E382" s="3" t="s">
        <v>999</v>
      </c>
      <c r="F382" s="4" t="s">
        <v>58</v>
      </c>
      <c r="G382" s="3" t="s">
        <v>1000</v>
      </c>
      <c r="H382" s="3"/>
      <c r="I382" s="3" t="s">
        <v>71</v>
      </c>
      <c r="J382" s="3" t="s">
        <v>61</v>
      </c>
      <c r="K382" s="3"/>
      <c r="L382" s="3"/>
      <c r="M382" s="3"/>
      <c r="N382" s="3"/>
      <c r="O382" s="3"/>
      <c r="P382" s="3"/>
      <c r="Q382" s="3"/>
      <c r="R382" s="3"/>
      <c r="S382" s="3"/>
    </row>
    <row r="383" spans="1:19" ht="39" x14ac:dyDescent="0.25">
      <c r="A383" s="1">
        <v>40824</v>
      </c>
      <c r="B383" s="1">
        <v>40824</v>
      </c>
      <c r="C383" s="2">
        <f t="shared" si="5"/>
        <v>1</v>
      </c>
      <c r="D383" s="6" t="s">
        <v>1002</v>
      </c>
      <c r="E383" s="3" t="s">
        <v>1003</v>
      </c>
      <c r="F383" s="4" t="s">
        <v>58</v>
      </c>
      <c r="G383" s="3" t="s">
        <v>1004</v>
      </c>
      <c r="H383" s="3" t="s">
        <v>1005</v>
      </c>
      <c r="I383" s="3" t="s">
        <v>1006</v>
      </c>
      <c r="J383" s="3" t="s">
        <v>61</v>
      </c>
      <c r="K383" s="3"/>
      <c r="L383" s="3"/>
      <c r="M383" s="3"/>
      <c r="N383" s="3"/>
      <c r="O383" s="3"/>
      <c r="P383" s="3"/>
      <c r="Q383" s="3"/>
      <c r="R383" s="3"/>
      <c r="S383" s="3"/>
    </row>
    <row r="384" spans="1:19" ht="39" x14ac:dyDescent="0.25">
      <c r="A384" s="1">
        <v>40824</v>
      </c>
      <c r="B384" s="1">
        <v>40824</v>
      </c>
      <c r="C384" s="2">
        <f t="shared" si="5"/>
        <v>1</v>
      </c>
      <c r="D384" s="6" t="s">
        <v>1008</v>
      </c>
      <c r="E384" s="3" t="s">
        <v>1008</v>
      </c>
      <c r="F384" s="4" t="s">
        <v>58</v>
      </c>
      <c r="G384" s="3" t="s">
        <v>1009</v>
      </c>
      <c r="H384" s="3" t="s">
        <v>1010</v>
      </c>
      <c r="I384" s="3" t="s">
        <v>60</v>
      </c>
      <c r="J384" s="3" t="s">
        <v>61</v>
      </c>
      <c r="K384" s="3"/>
      <c r="L384" s="3"/>
      <c r="M384" s="3"/>
      <c r="N384" s="3"/>
      <c r="O384" s="3"/>
      <c r="P384" s="3"/>
      <c r="Q384" s="3"/>
      <c r="R384" s="3"/>
      <c r="S384" s="3"/>
    </row>
    <row r="385" spans="1:19" ht="39" x14ac:dyDescent="0.25">
      <c r="A385" s="1">
        <v>40824</v>
      </c>
      <c r="B385" s="1">
        <v>40824</v>
      </c>
      <c r="C385" s="2">
        <f t="shared" ref="C385:C448" si="6">(B385-A385)+1</f>
        <v>1</v>
      </c>
      <c r="D385" s="6" t="s">
        <v>1012</v>
      </c>
      <c r="E385" s="3" t="s">
        <v>1013</v>
      </c>
      <c r="F385" s="4" t="s">
        <v>58</v>
      </c>
      <c r="G385" s="3" t="s">
        <v>1014</v>
      </c>
      <c r="H385" s="3"/>
      <c r="I385" s="3" t="s">
        <v>1015</v>
      </c>
      <c r="J385" s="3" t="s">
        <v>61</v>
      </c>
      <c r="K385" s="3"/>
      <c r="L385" s="3"/>
      <c r="M385" s="3"/>
      <c r="N385" s="3"/>
      <c r="O385" s="3"/>
      <c r="P385" s="3"/>
      <c r="Q385" s="3"/>
      <c r="R385" s="3"/>
      <c r="S385" s="3"/>
    </row>
    <row r="386" spans="1:19" ht="39" x14ac:dyDescent="0.25">
      <c r="A386" s="1">
        <v>40824</v>
      </c>
      <c r="B386" s="1">
        <v>40824</v>
      </c>
      <c r="C386" s="2">
        <f t="shared" si="6"/>
        <v>1</v>
      </c>
      <c r="D386" s="6" t="s">
        <v>1018</v>
      </c>
      <c r="E386" s="3" t="s">
        <v>1019</v>
      </c>
      <c r="F386" s="4" t="s">
        <v>58</v>
      </c>
      <c r="G386" s="3" t="s">
        <v>1020</v>
      </c>
      <c r="H386" s="3"/>
      <c r="I386" s="3" t="s">
        <v>1021</v>
      </c>
      <c r="J386" s="3" t="s">
        <v>61</v>
      </c>
      <c r="K386" s="3"/>
      <c r="L386" s="3"/>
      <c r="M386" s="3"/>
      <c r="N386" s="3"/>
      <c r="O386" s="3"/>
      <c r="P386" s="3"/>
      <c r="Q386" s="3"/>
      <c r="R386" s="3"/>
      <c r="S386" s="3"/>
    </row>
    <row r="387" spans="1:19" ht="39" x14ac:dyDescent="0.25">
      <c r="A387" s="1">
        <v>40824</v>
      </c>
      <c r="B387" s="1">
        <v>40824</v>
      </c>
      <c r="C387" s="2">
        <f t="shared" si="6"/>
        <v>1</v>
      </c>
      <c r="D387" s="6" t="s">
        <v>1025</v>
      </c>
      <c r="E387" s="3" t="s">
        <v>1026</v>
      </c>
      <c r="F387" s="4" t="s">
        <v>58</v>
      </c>
      <c r="G387" s="3" t="s">
        <v>1027</v>
      </c>
      <c r="H387" s="3"/>
      <c r="I387" s="3" t="s">
        <v>1028</v>
      </c>
      <c r="J387" s="3" t="s">
        <v>61</v>
      </c>
      <c r="K387" s="3"/>
      <c r="L387" s="3"/>
      <c r="M387" s="3"/>
      <c r="N387" s="3"/>
      <c r="O387" s="3"/>
      <c r="P387" s="3"/>
      <c r="Q387" s="3"/>
      <c r="R387" s="3"/>
      <c r="S387" s="3"/>
    </row>
    <row r="388" spans="1:19" ht="39" x14ac:dyDescent="0.25">
      <c r="A388" s="1">
        <v>40824</v>
      </c>
      <c r="B388" s="1">
        <v>40824</v>
      </c>
      <c r="C388" s="2">
        <f t="shared" si="6"/>
        <v>1</v>
      </c>
      <c r="D388" s="6" t="s">
        <v>1030</v>
      </c>
      <c r="E388" s="3" t="s">
        <v>1031</v>
      </c>
      <c r="F388" s="4" t="s">
        <v>58</v>
      </c>
      <c r="G388" s="3" t="s">
        <v>284</v>
      </c>
      <c r="H388" s="3"/>
      <c r="I388" s="3" t="s">
        <v>245</v>
      </c>
      <c r="J388" s="3" t="s">
        <v>61</v>
      </c>
      <c r="K388" s="3"/>
      <c r="L388" s="3"/>
      <c r="M388" s="3"/>
      <c r="N388" s="3"/>
      <c r="O388" s="3"/>
      <c r="P388" s="3"/>
      <c r="Q388" s="3"/>
      <c r="R388" s="3"/>
      <c r="S388" s="3"/>
    </row>
    <row r="389" spans="1:19" ht="26.25" x14ac:dyDescent="0.25">
      <c r="A389" s="1">
        <v>40824</v>
      </c>
      <c r="B389" s="1">
        <v>40824</v>
      </c>
      <c r="C389" s="2">
        <f t="shared" si="6"/>
        <v>1</v>
      </c>
      <c r="D389" s="6" t="s">
        <v>1032</v>
      </c>
      <c r="E389" s="3" t="s">
        <v>1033</v>
      </c>
      <c r="F389" s="4" t="s">
        <v>58</v>
      </c>
      <c r="G389" s="3" t="s">
        <v>1034</v>
      </c>
      <c r="H389" s="3" t="s">
        <v>1035</v>
      </c>
      <c r="I389" s="3" t="s">
        <v>71</v>
      </c>
      <c r="J389" s="3" t="s">
        <v>61</v>
      </c>
      <c r="K389" s="3"/>
      <c r="L389" s="3"/>
      <c r="M389" s="3"/>
      <c r="N389" s="3"/>
      <c r="O389" s="3"/>
      <c r="P389" s="3"/>
      <c r="Q389" s="3"/>
      <c r="R389" s="3"/>
      <c r="S389" s="3"/>
    </row>
    <row r="390" spans="1:19" ht="51.75" x14ac:dyDescent="0.25">
      <c r="A390" s="1">
        <v>40824</v>
      </c>
      <c r="B390" s="1">
        <v>40824</v>
      </c>
      <c r="C390" s="2">
        <f t="shared" si="6"/>
        <v>1</v>
      </c>
      <c r="D390" s="6" t="s">
        <v>1038</v>
      </c>
      <c r="E390" s="3" t="s">
        <v>1039</v>
      </c>
      <c r="F390" s="4" t="s">
        <v>58</v>
      </c>
      <c r="G390" s="3" t="s">
        <v>1040</v>
      </c>
      <c r="H390" s="3" t="s">
        <v>1041</v>
      </c>
      <c r="I390" s="3" t="s">
        <v>1042</v>
      </c>
      <c r="J390" s="3" t="s">
        <v>61</v>
      </c>
      <c r="K390" s="3"/>
      <c r="L390" s="3"/>
      <c r="M390" s="3"/>
      <c r="N390" s="3"/>
      <c r="O390" s="3"/>
      <c r="P390" s="3"/>
      <c r="Q390" s="3"/>
      <c r="R390" s="3"/>
      <c r="S390" s="3"/>
    </row>
    <row r="391" spans="1:19" ht="51.75" x14ac:dyDescent="0.25">
      <c r="A391" s="1">
        <v>40824</v>
      </c>
      <c r="B391" s="1">
        <v>40824</v>
      </c>
      <c r="C391" s="2">
        <f t="shared" si="6"/>
        <v>1</v>
      </c>
      <c r="D391" s="6" t="s">
        <v>1046</v>
      </c>
      <c r="E391" s="3" t="s">
        <v>1047</v>
      </c>
      <c r="F391" s="4" t="s">
        <v>58</v>
      </c>
      <c r="G391" s="3" t="s">
        <v>1048</v>
      </c>
      <c r="H391" s="3"/>
      <c r="I391" s="3" t="s">
        <v>978</v>
      </c>
      <c r="J391" s="3" t="s">
        <v>61</v>
      </c>
      <c r="K391" s="3"/>
      <c r="L391" s="3"/>
      <c r="M391" s="3"/>
      <c r="N391" s="3"/>
      <c r="O391" s="3"/>
      <c r="P391" s="3"/>
      <c r="Q391" s="3"/>
      <c r="R391" s="3"/>
      <c r="S391" s="3"/>
    </row>
    <row r="392" spans="1:19" ht="26.25" x14ac:dyDescent="0.25">
      <c r="A392" s="1">
        <v>40824</v>
      </c>
      <c r="B392" s="1">
        <v>40824</v>
      </c>
      <c r="C392" s="2">
        <f t="shared" si="6"/>
        <v>1</v>
      </c>
      <c r="D392" s="6" t="s">
        <v>1049</v>
      </c>
      <c r="E392" s="3" t="s">
        <v>1050</v>
      </c>
      <c r="F392" s="4" t="s">
        <v>58</v>
      </c>
      <c r="G392" s="3" t="s">
        <v>1051</v>
      </c>
      <c r="H392" s="3" t="s">
        <v>1052</v>
      </c>
      <c r="I392" s="3" t="s">
        <v>60</v>
      </c>
      <c r="J392" s="3" t="s">
        <v>61</v>
      </c>
      <c r="K392" s="3"/>
      <c r="L392" s="3"/>
      <c r="M392" s="3"/>
      <c r="N392" s="3"/>
      <c r="O392" s="3"/>
      <c r="P392" s="3"/>
      <c r="Q392" s="3"/>
      <c r="R392" s="3"/>
      <c r="S392" s="3"/>
    </row>
    <row r="393" spans="1:19" ht="51.75" x14ac:dyDescent="0.25">
      <c r="A393" s="1">
        <v>40824</v>
      </c>
      <c r="B393" s="1">
        <v>40824</v>
      </c>
      <c r="C393" s="2">
        <f t="shared" si="6"/>
        <v>1</v>
      </c>
      <c r="D393" s="6" t="s">
        <v>1055</v>
      </c>
      <c r="E393" s="3" t="s">
        <v>1056</v>
      </c>
      <c r="F393" s="4" t="s">
        <v>58</v>
      </c>
      <c r="G393" s="3" t="s">
        <v>1057</v>
      </c>
      <c r="H393" s="3" t="s">
        <v>453</v>
      </c>
      <c r="I393" s="3" t="s">
        <v>1058</v>
      </c>
      <c r="J393" s="3" t="s">
        <v>61</v>
      </c>
      <c r="K393" s="3"/>
      <c r="L393" s="3"/>
      <c r="M393" s="3"/>
      <c r="N393" s="3"/>
      <c r="O393" s="3"/>
      <c r="P393" s="3"/>
      <c r="Q393" s="3"/>
      <c r="R393" s="3"/>
      <c r="S393" s="3"/>
    </row>
    <row r="394" spans="1:19" ht="51.75" x14ac:dyDescent="0.25">
      <c r="A394" s="1">
        <v>40825</v>
      </c>
      <c r="B394" s="1">
        <v>40825</v>
      </c>
      <c r="C394" s="2">
        <f t="shared" si="6"/>
        <v>1</v>
      </c>
      <c r="D394" s="6" t="s">
        <v>1109</v>
      </c>
      <c r="E394" s="3" t="s">
        <v>1110</v>
      </c>
      <c r="F394" s="4" t="s">
        <v>58</v>
      </c>
      <c r="G394" s="3" t="s">
        <v>842</v>
      </c>
      <c r="H394" s="3" t="s">
        <v>843</v>
      </c>
      <c r="I394" s="3" t="s">
        <v>105</v>
      </c>
      <c r="J394" s="3" t="s">
        <v>61</v>
      </c>
      <c r="K394" s="3"/>
      <c r="L394" s="3"/>
      <c r="M394" s="3"/>
      <c r="N394" s="3"/>
      <c r="O394" s="3"/>
      <c r="P394" s="3"/>
      <c r="Q394" s="3"/>
      <c r="R394" s="3"/>
      <c r="S394" s="3"/>
    </row>
    <row r="395" spans="1:19" ht="51.75" x14ac:dyDescent="0.25">
      <c r="A395" s="1">
        <v>40825</v>
      </c>
      <c r="B395" s="1">
        <v>40825</v>
      </c>
      <c r="C395" s="2">
        <f t="shared" si="6"/>
        <v>1</v>
      </c>
      <c r="D395" s="6" t="s">
        <v>1113</v>
      </c>
      <c r="E395" s="3" t="s">
        <v>1114</v>
      </c>
      <c r="F395" s="4" t="s">
        <v>58</v>
      </c>
      <c r="G395" s="3" t="s">
        <v>1115</v>
      </c>
      <c r="H395" s="3" t="s">
        <v>1116</v>
      </c>
      <c r="I395" s="3" t="s">
        <v>1117</v>
      </c>
      <c r="J395" s="3" t="s">
        <v>61</v>
      </c>
      <c r="K395" s="3"/>
      <c r="L395" s="3"/>
      <c r="M395" s="3"/>
      <c r="N395" s="3"/>
      <c r="O395" s="3"/>
      <c r="P395" s="3"/>
      <c r="Q395" s="3"/>
      <c r="R395" s="3"/>
      <c r="S395" s="3"/>
    </row>
    <row r="396" spans="1:19" ht="26.25" x14ac:dyDescent="0.25">
      <c r="A396" s="1">
        <v>40825</v>
      </c>
      <c r="B396" s="1">
        <v>40825</v>
      </c>
      <c r="C396" s="2">
        <f t="shared" si="6"/>
        <v>1</v>
      </c>
      <c r="D396" s="6" t="s">
        <v>1121</v>
      </c>
      <c r="E396" s="3" t="s">
        <v>1122</v>
      </c>
      <c r="F396" s="4" t="s">
        <v>58</v>
      </c>
      <c r="G396" s="3" t="s">
        <v>1123</v>
      </c>
      <c r="H396" s="3"/>
      <c r="I396" s="3" t="s">
        <v>978</v>
      </c>
      <c r="J396" s="3" t="s">
        <v>61</v>
      </c>
      <c r="K396" s="3"/>
      <c r="L396" s="3"/>
      <c r="M396" s="3"/>
      <c r="N396" s="3"/>
      <c r="O396" s="3"/>
      <c r="P396" s="3"/>
      <c r="Q396" s="3"/>
      <c r="R396" s="3"/>
      <c r="S396" s="3"/>
    </row>
    <row r="397" spans="1:19" ht="26.25" x14ac:dyDescent="0.25">
      <c r="A397" s="1">
        <v>40825</v>
      </c>
      <c r="B397" s="1">
        <v>40825</v>
      </c>
      <c r="C397" s="2">
        <f t="shared" si="6"/>
        <v>1</v>
      </c>
      <c r="D397" s="6" t="s">
        <v>1125</v>
      </c>
      <c r="E397" s="3" t="s">
        <v>1126</v>
      </c>
      <c r="F397" s="4" t="s">
        <v>58</v>
      </c>
      <c r="G397" s="3" t="s">
        <v>1127</v>
      </c>
      <c r="H397" s="3" t="s">
        <v>1128</v>
      </c>
      <c r="I397" s="3" t="s">
        <v>303</v>
      </c>
      <c r="J397" s="3" t="s">
        <v>61</v>
      </c>
      <c r="K397" s="3"/>
      <c r="L397" s="3"/>
      <c r="M397" s="3"/>
      <c r="N397" s="3"/>
      <c r="O397" s="3"/>
      <c r="P397" s="3"/>
      <c r="Q397" s="3"/>
      <c r="R397" s="3"/>
      <c r="S397" s="3"/>
    </row>
    <row r="398" spans="1:19" ht="39" x14ac:dyDescent="0.25">
      <c r="A398" s="1">
        <v>40825</v>
      </c>
      <c r="B398" s="1">
        <v>40825</v>
      </c>
      <c r="C398" s="2">
        <f t="shared" si="6"/>
        <v>1</v>
      </c>
      <c r="D398" s="6" t="s">
        <v>1132</v>
      </c>
      <c r="E398" s="3" t="s">
        <v>1133</v>
      </c>
      <c r="F398" s="5" t="s">
        <v>58</v>
      </c>
      <c r="G398" s="3" t="s">
        <v>284</v>
      </c>
      <c r="H398" s="3"/>
      <c r="I398" s="3" t="s">
        <v>245</v>
      </c>
      <c r="J398" s="3" t="s">
        <v>61</v>
      </c>
      <c r="K398" s="3"/>
      <c r="L398" s="3"/>
      <c r="M398" s="3"/>
      <c r="N398" s="3"/>
      <c r="O398" s="3"/>
      <c r="P398" s="3"/>
      <c r="Q398" s="3"/>
      <c r="R398" s="3"/>
      <c r="S398" s="3"/>
    </row>
    <row r="399" spans="1:19" ht="39" x14ac:dyDescent="0.25">
      <c r="A399" s="1">
        <v>40827</v>
      </c>
      <c r="B399" s="1">
        <v>40827</v>
      </c>
      <c r="C399" s="2">
        <f t="shared" si="6"/>
        <v>1</v>
      </c>
      <c r="D399" s="6" t="s">
        <v>1143</v>
      </c>
      <c r="E399" s="3" t="s">
        <v>1144</v>
      </c>
      <c r="F399" s="4" t="s">
        <v>58</v>
      </c>
      <c r="G399" s="3" t="s">
        <v>1145</v>
      </c>
      <c r="H399" s="3"/>
      <c r="I399" s="3" t="s">
        <v>865</v>
      </c>
      <c r="J399" s="3" t="s">
        <v>61</v>
      </c>
      <c r="K399" s="3"/>
      <c r="L399" s="3"/>
      <c r="M399" s="3"/>
      <c r="N399" s="3"/>
      <c r="O399" s="3"/>
      <c r="P399" s="3"/>
      <c r="Q399" s="3"/>
      <c r="R399" s="3"/>
      <c r="S399" s="3"/>
    </row>
    <row r="400" spans="1:19" ht="39" x14ac:dyDescent="0.25">
      <c r="A400" s="1">
        <v>40828</v>
      </c>
      <c r="B400" s="1">
        <v>40828</v>
      </c>
      <c r="C400" s="2">
        <f t="shared" si="6"/>
        <v>1</v>
      </c>
      <c r="D400" s="6" t="s">
        <v>1155</v>
      </c>
      <c r="E400" s="3" t="s">
        <v>1156</v>
      </c>
      <c r="F400" s="4" t="s">
        <v>58</v>
      </c>
      <c r="G400" s="3" t="s">
        <v>1157</v>
      </c>
      <c r="H400" s="3"/>
      <c r="I400" s="3" t="s">
        <v>894</v>
      </c>
      <c r="J400" s="3" t="s">
        <v>61</v>
      </c>
      <c r="K400" s="3"/>
      <c r="L400" s="3"/>
      <c r="M400" s="3"/>
      <c r="N400" s="3"/>
      <c r="O400" s="3"/>
      <c r="P400" s="3"/>
      <c r="Q400" s="3"/>
      <c r="R400" s="3"/>
      <c r="S400" s="3"/>
    </row>
    <row r="401" spans="1:19" ht="39" x14ac:dyDescent="0.25">
      <c r="A401" s="1">
        <v>40828</v>
      </c>
      <c r="B401" s="1">
        <v>40828</v>
      </c>
      <c r="C401" s="2">
        <f t="shared" si="6"/>
        <v>1</v>
      </c>
      <c r="D401" s="6" t="s">
        <v>1161</v>
      </c>
      <c r="E401" s="3" t="s">
        <v>1162</v>
      </c>
      <c r="F401" s="4" t="s">
        <v>58</v>
      </c>
      <c r="G401" s="3" t="s">
        <v>1163</v>
      </c>
      <c r="H401" s="3" t="s">
        <v>1164</v>
      </c>
      <c r="I401" s="3" t="s">
        <v>71</v>
      </c>
      <c r="J401" s="3" t="s">
        <v>61</v>
      </c>
      <c r="K401" s="3"/>
      <c r="L401" s="3"/>
      <c r="M401" s="3"/>
      <c r="N401" s="3"/>
      <c r="O401" s="3"/>
      <c r="P401" s="3"/>
      <c r="Q401" s="3"/>
      <c r="R401" s="3"/>
      <c r="S401" s="3"/>
    </row>
    <row r="402" spans="1:19" ht="51.75" x14ac:dyDescent="0.25">
      <c r="A402" s="1">
        <v>40829</v>
      </c>
      <c r="B402" s="1">
        <v>40829</v>
      </c>
      <c r="C402" s="2">
        <f t="shared" si="6"/>
        <v>1</v>
      </c>
      <c r="D402" s="6" t="s">
        <v>1171</v>
      </c>
      <c r="E402" s="3" t="s">
        <v>759</v>
      </c>
      <c r="F402" s="4" t="s">
        <v>58</v>
      </c>
      <c r="G402" s="3" t="s">
        <v>1172</v>
      </c>
      <c r="H402" s="3" t="s">
        <v>1173</v>
      </c>
      <c r="I402" s="3" t="s">
        <v>1174</v>
      </c>
      <c r="J402" s="3" t="s">
        <v>61</v>
      </c>
      <c r="K402" s="3"/>
      <c r="L402" s="3"/>
      <c r="M402" s="3"/>
      <c r="N402" s="3"/>
      <c r="O402" s="3"/>
      <c r="P402" s="3"/>
      <c r="Q402" s="3"/>
      <c r="R402" s="3"/>
      <c r="S402" s="3"/>
    </row>
    <row r="403" spans="1:19" ht="51.75" x14ac:dyDescent="0.25">
      <c r="A403" s="1">
        <v>40829</v>
      </c>
      <c r="B403" s="1">
        <v>40829</v>
      </c>
      <c r="C403" s="2">
        <f t="shared" si="6"/>
        <v>1</v>
      </c>
      <c r="D403" s="6" t="s">
        <v>1176</v>
      </c>
      <c r="E403" s="3" t="s">
        <v>1177</v>
      </c>
      <c r="F403" s="4" t="s">
        <v>58</v>
      </c>
      <c r="G403" s="3" t="s">
        <v>1178</v>
      </c>
      <c r="H403" s="3" t="s">
        <v>1179</v>
      </c>
      <c r="I403" s="3" t="s">
        <v>865</v>
      </c>
      <c r="J403" s="3" t="s">
        <v>61</v>
      </c>
      <c r="K403" s="3"/>
      <c r="L403" s="3"/>
      <c r="M403" s="3"/>
      <c r="N403" s="3"/>
      <c r="O403" s="3"/>
      <c r="P403" s="3"/>
      <c r="Q403" s="3"/>
      <c r="R403" s="3"/>
      <c r="S403" s="3"/>
    </row>
    <row r="404" spans="1:19" ht="39" x14ac:dyDescent="0.25">
      <c r="A404" s="30">
        <v>40830</v>
      </c>
      <c r="B404" s="30">
        <v>40830</v>
      </c>
      <c r="C404" s="31">
        <f t="shared" si="6"/>
        <v>1</v>
      </c>
      <c r="D404" s="32" t="s">
        <v>1195</v>
      </c>
      <c r="E404" s="33" t="s">
        <v>1196</v>
      </c>
      <c r="F404" s="4" t="s">
        <v>58</v>
      </c>
      <c r="G404" s="33" t="s">
        <v>1127</v>
      </c>
      <c r="H404" s="33" t="s">
        <v>1128</v>
      </c>
      <c r="I404" s="33" t="s">
        <v>303</v>
      </c>
      <c r="J404" s="33" t="s">
        <v>61</v>
      </c>
      <c r="K404" s="33"/>
      <c r="L404" s="33"/>
      <c r="M404" s="33"/>
      <c r="N404" s="33"/>
      <c r="O404" s="33"/>
      <c r="P404" s="33"/>
      <c r="Q404" s="33"/>
      <c r="R404" s="33"/>
      <c r="S404" s="33"/>
    </row>
    <row r="405" spans="1:19" ht="39" x14ac:dyDescent="0.25">
      <c r="A405" s="13">
        <v>40830</v>
      </c>
      <c r="B405" s="13">
        <v>40830</v>
      </c>
      <c r="C405" s="21">
        <f t="shared" si="6"/>
        <v>1</v>
      </c>
      <c r="D405" s="22" t="s">
        <v>1198</v>
      </c>
      <c r="E405" s="9" t="s">
        <v>1199</v>
      </c>
      <c r="F405" s="5" t="s">
        <v>58</v>
      </c>
      <c r="G405" s="9" t="s">
        <v>1200</v>
      </c>
      <c r="H405" s="9" t="s">
        <v>1201</v>
      </c>
      <c r="I405" s="9" t="s">
        <v>455</v>
      </c>
      <c r="J405" s="9" t="s">
        <v>61</v>
      </c>
      <c r="K405" s="9"/>
      <c r="L405" s="9"/>
      <c r="M405" s="9"/>
      <c r="N405" s="9"/>
      <c r="O405" s="9"/>
      <c r="P405" s="9"/>
      <c r="Q405" s="9"/>
      <c r="R405" s="9"/>
      <c r="S405" s="9"/>
    </row>
    <row r="406" spans="1:19" ht="26.25" x14ac:dyDescent="0.25">
      <c r="A406" s="1">
        <v>40830</v>
      </c>
      <c r="B406" s="1">
        <v>40830</v>
      </c>
      <c r="C406" s="2">
        <f t="shared" si="6"/>
        <v>1</v>
      </c>
      <c r="D406" s="6" t="s">
        <v>1204</v>
      </c>
      <c r="E406" s="3" t="s">
        <v>1205</v>
      </c>
      <c r="F406" s="4" t="s">
        <v>58</v>
      </c>
      <c r="G406" s="3" t="s">
        <v>1206</v>
      </c>
      <c r="H406" s="3" t="s">
        <v>1207</v>
      </c>
      <c r="I406" s="3" t="s">
        <v>105</v>
      </c>
      <c r="J406" s="3" t="s">
        <v>61</v>
      </c>
      <c r="K406" s="3"/>
      <c r="L406" s="3"/>
      <c r="M406" s="3"/>
      <c r="N406" s="3"/>
      <c r="O406" s="3"/>
      <c r="P406" s="3"/>
      <c r="Q406" s="3"/>
      <c r="R406" s="3"/>
      <c r="S406" s="3"/>
    </row>
    <row r="407" spans="1:19" ht="39" x14ac:dyDescent="0.25">
      <c r="A407" s="1">
        <v>40831</v>
      </c>
      <c r="B407" s="1">
        <v>40831</v>
      </c>
      <c r="C407" s="2">
        <f t="shared" si="6"/>
        <v>1</v>
      </c>
      <c r="D407" s="6" t="s">
        <v>1237</v>
      </c>
      <c r="E407" s="3" t="s">
        <v>1238</v>
      </c>
      <c r="F407" s="4" t="s">
        <v>58</v>
      </c>
      <c r="G407" s="3" t="s">
        <v>1239</v>
      </c>
      <c r="H407" s="3" t="s">
        <v>1240</v>
      </c>
      <c r="I407" s="3" t="s">
        <v>1241</v>
      </c>
      <c r="J407" s="3" t="s">
        <v>61</v>
      </c>
      <c r="K407" s="3"/>
      <c r="L407" s="3"/>
      <c r="M407" s="3"/>
      <c r="N407" s="3"/>
      <c r="O407" s="3"/>
      <c r="P407" s="3"/>
      <c r="Q407" s="3"/>
      <c r="R407" s="3"/>
      <c r="S407" s="3"/>
    </row>
    <row r="408" spans="1:19" ht="51.75" x14ac:dyDescent="0.25">
      <c r="A408" s="1">
        <v>40831</v>
      </c>
      <c r="B408" s="1">
        <v>40831</v>
      </c>
      <c r="C408" s="2">
        <f t="shared" si="6"/>
        <v>1</v>
      </c>
      <c r="D408" s="6" t="s">
        <v>1244</v>
      </c>
      <c r="E408" s="3" t="s">
        <v>1245</v>
      </c>
      <c r="F408" s="4" t="s">
        <v>58</v>
      </c>
      <c r="G408" s="3" t="s">
        <v>1246</v>
      </c>
      <c r="H408" s="3" t="s">
        <v>215</v>
      </c>
      <c r="I408" s="3" t="s">
        <v>1247</v>
      </c>
      <c r="J408" s="3" t="s">
        <v>61</v>
      </c>
      <c r="K408" s="3"/>
      <c r="L408" s="3"/>
      <c r="M408" s="3"/>
      <c r="N408" s="3"/>
      <c r="O408" s="3"/>
      <c r="P408" s="3"/>
      <c r="Q408" s="3"/>
      <c r="R408" s="3"/>
      <c r="S408" s="3"/>
    </row>
    <row r="409" spans="1:19" ht="39" x14ac:dyDescent="0.25">
      <c r="A409" s="1">
        <v>40831</v>
      </c>
      <c r="B409" s="1">
        <v>40831</v>
      </c>
      <c r="C409" s="2">
        <f t="shared" si="6"/>
        <v>1</v>
      </c>
      <c r="D409" s="6" t="s">
        <v>1252</v>
      </c>
      <c r="E409" s="3" t="s">
        <v>1253</v>
      </c>
      <c r="F409" s="4" t="s">
        <v>58</v>
      </c>
      <c r="G409" s="3" t="s">
        <v>1254</v>
      </c>
      <c r="H409" s="3" t="s">
        <v>1255</v>
      </c>
      <c r="I409" s="3" t="s">
        <v>1256</v>
      </c>
      <c r="J409" s="3" t="s">
        <v>61</v>
      </c>
      <c r="K409" s="3"/>
      <c r="L409" s="3"/>
      <c r="M409" s="3"/>
      <c r="N409" s="3"/>
      <c r="O409" s="3"/>
      <c r="P409" s="3"/>
      <c r="Q409" s="3"/>
      <c r="R409" s="3"/>
      <c r="S409" s="3"/>
    </row>
    <row r="410" spans="1:19" ht="26.25" x14ac:dyDescent="0.25">
      <c r="A410" s="1">
        <v>40831</v>
      </c>
      <c r="B410" s="1">
        <v>40831</v>
      </c>
      <c r="C410" s="2">
        <f t="shared" si="6"/>
        <v>1</v>
      </c>
      <c r="D410" s="6" t="s">
        <v>1258</v>
      </c>
      <c r="E410" s="3" t="s">
        <v>1259</v>
      </c>
      <c r="F410" s="4" t="s">
        <v>58</v>
      </c>
      <c r="G410" s="3" t="s">
        <v>1260</v>
      </c>
      <c r="H410" s="3"/>
      <c r="I410" s="3" t="s">
        <v>1261</v>
      </c>
      <c r="J410" s="3" t="s">
        <v>61</v>
      </c>
      <c r="K410" s="3"/>
      <c r="L410" s="3"/>
      <c r="M410" s="3"/>
      <c r="N410" s="3"/>
      <c r="O410" s="3"/>
      <c r="P410" s="3"/>
      <c r="Q410" s="3"/>
      <c r="R410" s="3"/>
      <c r="S410" s="3"/>
    </row>
    <row r="411" spans="1:19" ht="51.75" x14ac:dyDescent="0.25">
      <c r="A411" s="1">
        <v>40831</v>
      </c>
      <c r="B411" s="1">
        <v>40831</v>
      </c>
      <c r="C411" s="2">
        <f t="shared" si="6"/>
        <v>1</v>
      </c>
      <c r="D411" s="6" t="s">
        <v>1265</v>
      </c>
      <c r="E411" s="3" t="s">
        <v>1266</v>
      </c>
      <c r="F411" s="4" t="s">
        <v>58</v>
      </c>
      <c r="G411" s="3" t="s">
        <v>1267</v>
      </c>
      <c r="H411" s="3" t="s">
        <v>321</v>
      </c>
      <c r="I411" s="3" t="s">
        <v>227</v>
      </c>
      <c r="J411" s="3" t="s">
        <v>61</v>
      </c>
      <c r="K411" s="3"/>
      <c r="L411" s="3"/>
      <c r="M411" s="3"/>
      <c r="N411" s="3"/>
      <c r="O411" s="3"/>
      <c r="P411" s="3"/>
      <c r="Q411" s="3"/>
      <c r="R411" s="3"/>
      <c r="S411" s="3"/>
    </row>
    <row r="412" spans="1:19" ht="26.25" x14ac:dyDescent="0.25">
      <c r="A412" s="1">
        <v>40831</v>
      </c>
      <c r="B412" s="1">
        <v>40831</v>
      </c>
      <c r="C412" s="2">
        <f t="shared" si="6"/>
        <v>1</v>
      </c>
      <c r="D412" s="6" t="s">
        <v>1268</v>
      </c>
      <c r="E412" s="3" t="s">
        <v>1268</v>
      </c>
      <c r="F412" s="4" t="s">
        <v>58</v>
      </c>
      <c r="G412" s="3" t="s">
        <v>1269</v>
      </c>
      <c r="H412" s="3" t="s">
        <v>1270</v>
      </c>
      <c r="I412" s="3" t="s">
        <v>60</v>
      </c>
      <c r="J412" s="3" t="s">
        <v>61</v>
      </c>
      <c r="K412" s="3"/>
      <c r="L412" s="3"/>
      <c r="M412" s="3"/>
      <c r="N412" s="3"/>
      <c r="O412" s="3"/>
      <c r="P412" s="3"/>
      <c r="Q412" s="3"/>
      <c r="R412" s="3"/>
      <c r="S412" s="3"/>
    </row>
    <row r="413" spans="1:19" ht="51.75" x14ac:dyDescent="0.25">
      <c r="A413" s="1">
        <v>40831</v>
      </c>
      <c r="B413" s="1">
        <v>40831</v>
      </c>
      <c r="C413" s="2">
        <f t="shared" si="6"/>
        <v>1</v>
      </c>
      <c r="D413" s="6" t="s">
        <v>1272</v>
      </c>
      <c r="E413" s="3" t="s">
        <v>1273</v>
      </c>
      <c r="F413" s="8" t="s">
        <v>58</v>
      </c>
      <c r="G413" s="3" t="s">
        <v>1274</v>
      </c>
      <c r="H413" s="3" t="s">
        <v>1275</v>
      </c>
      <c r="I413" s="3" t="s">
        <v>1276</v>
      </c>
      <c r="J413" s="3" t="s">
        <v>61</v>
      </c>
      <c r="K413" s="3"/>
      <c r="L413" s="3"/>
      <c r="M413" s="3"/>
      <c r="N413" s="3"/>
      <c r="O413" s="3"/>
      <c r="P413" s="3"/>
      <c r="Q413" s="3"/>
      <c r="R413" s="3"/>
      <c r="S413" s="3"/>
    </row>
    <row r="414" spans="1:19" ht="39" x14ac:dyDescent="0.25">
      <c r="A414" s="1">
        <v>40831</v>
      </c>
      <c r="B414" s="1">
        <v>40831</v>
      </c>
      <c r="C414" s="2">
        <f t="shared" si="6"/>
        <v>1</v>
      </c>
      <c r="D414" s="6" t="s">
        <v>1281</v>
      </c>
      <c r="E414" s="3" t="s">
        <v>1282</v>
      </c>
      <c r="F414" s="5" t="s">
        <v>58</v>
      </c>
      <c r="G414" s="3" t="s">
        <v>1283</v>
      </c>
      <c r="H414" s="3"/>
      <c r="I414" s="3" t="s">
        <v>1284</v>
      </c>
      <c r="J414" s="3" t="s">
        <v>61</v>
      </c>
      <c r="K414" s="3"/>
      <c r="L414" s="3"/>
      <c r="M414" s="3"/>
      <c r="N414" s="3"/>
      <c r="O414" s="3"/>
      <c r="P414" s="3"/>
      <c r="Q414" s="3"/>
      <c r="R414" s="3"/>
      <c r="S414" s="3"/>
    </row>
    <row r="415" spans="1:19" ht="39" x14ac:dyDescent="0.25">
      <c r="A415" s="1">
        <v>40831</v>
      </c>
      <c r="B415" s="1">
        <v>40831</v>
      </c>
      <c r="C415" s="2">
        <f t="shared" si="6"/>
        <v>1</v>
      </c>
      <c r="D415" s="6" t="s">
        <v>1286</v>
      </c>
      <c r="E415" s="3" t="s">
        <v>1287</v>
      </c>
      <c r="F415" s="4" t="s">
        <v>58</v>
      </c>
      <c r="G415" s="3" t="s">
        <v>1288</v>
      </c>
      <c r="H415" s="3" t="s">
        <v>1289</v>
      </c>
      <c r="I415" s="3" t="s">
        <v>105</v>
      </c>
      <c r="J415" s="3" t="s">
        <v>61</v>
      </c>
      <c r="K415" s="3"/>
      <c r="L415" s="3"/>
      <c r="M415" s="3"/>
      <c r="N415" s="3"/>
      <c r="O415" s="3"/>
      <c r="P415" s="3"/>
      <c r="Q415" s="3"/>
      <c r="R415" s="3"/>
      <c r="S415" s="3"/>
    </row>
    <row r="416" spans="1:19" ht="26.25" x14ac:dyDescent="0.25">
      <c r="A416" s="1">
        <v>40831</v>
      </c>
      <c r="B416" s="1">
        <v>40831</v>
      </c>
      <c r="C416" s="2">
        <f t="shared" si="6"/>
        <v>1</v>
      </c>
      <c r="D416" s="6" t="s">
        <v>1292</v>
      </c>
      <c r="E416" s="3" t="s">
        <v>1292</v>
      </c>
      <c r="F416" s="4" t="s">
        <v>58</v>
      </c>
      <c r="G416" s="3" t="s">
        <v>297</v>
      </c>
      <c r="H416" s="3"/>
      <c r="I416" s="3" t="s">
        <v>60</v>
      </c>
      <c r="J416" s="3" t="s">
        <v>61</v>
      </c>
      <c r="K416" s="3"/>
      <c r="L416" s="3"/>
      <c r="M416" s="3"/>
      <c r="N416" s="3"/>
      <c r="O416" s="3"/>
      <c r="P416" s="3"/>
      <c r="Q416" s="3"/>
      <c r="R416" s="3"/>
      <c r="S416" s="3"/>
    </row>
    <row r="417" spans="1:19" ht="39" x14ac:dyDescent="0.25">
      <c r="A417" s="1">
        <v>40831</v>
      </c>
      <c r="B417" s="1">
        <v>40831</v>
      </c>
      <c r="C417" s="2">
        <f t="shared" si="6"/>
        <v>1</v>
      </c>
      <c r="D417" s="6" t="s">
        <v>1293</v>
      </c>
      <c r="E417" s="3" t="s">
        <v>1294</v>
      </c>
      <c r="F417" s="4" t="s">
        <v>58</v>
      </c>
      <c r="G417" s="3" t="s">
        <v>1295</v>
      </c>
      <c r="H417" s="3" t="s">
        <v>1296</v>
      </c>
      <c r="I417" s="3" t="s">
        <v>1297</v>
      </c>
      <c r="J417" s="3" t="s">
        <v>61</v>
      </c>
      <c r="K417" s="3"/>
      <c r="L417" s="3"/>
      <c r="M417" s="3"/>
      <c r="N417" s="3"/>
      <c r="O417" s="3"/>
      <c r="P417" s="3"/>
      <c r="Q417" s="3"/>
      <c r="R417" s="3"/>
      <c r="S417" s="3"/>
    </row>
    <row r="418" spans="1:19" ht="39" x14ac:dyDescent="0.25">
      <c r="A418" s="1">
        <v>40831</v>
      </c>
      <c r="B418" s="1">
        <v>40831</v>
      </c>
      <c r="C418" s="2">
        <f t="shared" si="6"/>
        <v>1</v>
      </c>
      <c r="D418" s="6" t="s">
        <v>1012</v>
      </c>
      <c r="E418" s="3" t="s">
        <v>1300</v>
      </c>
      <c r="F418" s="4" t="s">
        <v>58</v>
      </c>
      <c r="G418" s="3" t="s">
        <v>1301</v>
      </c>
      <c r="H418" s="3" t="s">
        <v>1302</v>
      </c>
      <c r="I418" s="3" t="s">
        <v>1303</v>
      </c>
      <c r="J418" s="3" t="s">
        <v>61</v>
      </c>
      <c r="K418" s="3"/>
      <c r="L418" s="3"/>
      <c r="M418" s="3"/>
      <c r="N418" s="3"/>
      <c r="O418" s="3"/>
      <c r="P418" s="3"/>
      <c r="Q418" s="3"/>
      <c r="R418" s="3"/>
      <c r="S418" s="3"/>
    </row>
    <row r="419" spans="1:19" ht="51.75" x14ac:dyDescent="0.25">
      <c r="A419" s="1">
        <v>40831</v>
      </c>
      <c r="B419" s="1">
        <v>40831</v>
      </c>
      <c r="C419" s="2">
        <f t="shared" si="6"/>
        <v>1</v>
      </c>
      <c r="D419" s="6" t="s">
        <v>1309</v>
      </c>
      <c r="E419" s="3" t="s">
        <v>1310</v>
      </c>
      <c r="F419" s="4" t="s">
        <v>58</v>
      </c>
      <c r="G419" s="3" t="s">
        <v>824</v>
      </c>
      <c r="H419" s="3" t="s">
        <v>825</v>
      </c>
      <c r="I419" s="3" t="s">
        <v>71</v>
      </c>
      <c r="J419" s="3" t="s">
        <v>61</v>
      </c>
      <c r="K419" s="3"/>
      <c r="L419" s="3"/>
      <c r="M419" s="3"/>
      <c r="N419" s="3"/>
      <c r="O419" s="3"/>
      <c r="P419" s="3"/>
      <c r="Q419" s="3"/>
      <c r="R419" s="3"/>
      <c r="S419" s="3"/>
    </row>
    <row r="420" spans="1:19" ht="51.75" x14ac:dyDescent="0.25">
      <c r="A420" s="1">
        <v>40831</v>
      </c>
      <c r="B420" s="1">
        <v>40831</v>
      </c>
      <c r="C420" s="2">
        <f t="shared" si="6"/>
        <v>1</v>
      </c>
      <c r="D420" s="6" t="s">
        <v>1311</v>
      </c>
      <c r="E420" s="3" t="s">
        <v>1312</v>
      </c>
      <c r="F420" s="4" t="s">
        <v>58</v>
      </c>
      <c r="G420" s="3" t="s">
        <v>1200</v>
      </c>
      <c r="H420" s="3" t="s">
        <v>1201</v>
      </c>
      <c r="I420" s="3" t="s">
        <v>455</v>
      </c>
      <c r="J420" s="3" t="s">
        <v>61</v>
      </c>
      <c r="K420" s="3"/>
      <c r="L420" s="3"/>
      <c r="M420" s="3"/>
      <c r="N420" s="3"/>
      <c r="O420" s="3"/>
      <c r="P420" s="3"/>
      <c r="Q420" s="3"/>
      <c r="R420" s="3"/>
      <c r="S420" s="3"/>
    </row>
    <row r="421" spans="1:19" ht="39" x14ac:dyDescent="0.25">
      <c r="A421" s="1">
        <v>40832</v>
      </c>
      <c r="B421" s="1">
        <v>40832</v>
      </c>
      <c r="C421" s="2">
        <f t="shared" si="6"/>
        <v>1</v>
      </c>
      <c r="D421" s="6" t="s">
        <v>1325</v>
      </c>
      <c r="E421" s="3" t="s">
        <v>1326</v>
      </c>
      <c r="F421" s="4" t="s">
        <v>58</v>
      </c>
      <c r="G421" s="3" t="s">
        <v>1327</v>
      </c>
      <c r="H421" s="3"/>
      <c r="I421" s="3" t="s">
        <v>60</v>
      </c>
      <c r="J421" s="3" t="s">
        <v>61</v>
      </c>
      <c r="K421" s="3"/>
      <c r="L421" s="3"/>
      <c r="M421" s="3"/>
      <c r="N421" s="3"/>
      <c r="O421" s="3"/>
      <c r="P421" s="3"/>
      <c r="Q421" s="3"/>
      <c r="R421" s="3"/>
      <c r="S421" s="3"/>
    </row>
    <row r="422" spans="1:19" ht="39" x14ac:dyDescent="0.25">
      <c r="A422" s="1">
        <v>40832</v>
      </c>
      <c r="B422" s="1">
        <v>40832</v>
      </c>
      <c r="C422" s="2">
        <f t="shared" si="6"/>
        <v>1</v>
      </c>
      <c r="D422" s="6" t="s">
        <v>1330</v>
      </c>
      <c r="E422" s="3" t="s">
        <v>1331</v>
      </c>
      <c r="F422" s="4" t="s">
        <v>58</v>
      </c>
      <c r="G422" s="3" t="s">
        <v>479</v>
      </c>
      <c r="H422" s="3" t="s">
        <v>480</v>
      </c>
      <c r="I422" s="3" t="s">
        <v>245</v>
      </c>
      <c r="J422" s="3" t="s">
        <v>61</v>
      </c>
      <c r="K422" s="3"/>
      <c r="L422" s="3"/>
      <c r="M422" s="3"/>
      <c r="N422" s="3"/>
      <c r="O422" s="3"/>
      <c r="P422" s="3"/>
      <c r="Q422" s="3"/>
      <c r="R422" s="3"/>
      <c r="S422" s="3"/>
    </row>
    <row r="423" spans="1:19" ht="39" x14ac:dyDescent="0.25">
      <c r="A423" s="1">
        <v>40832</v>
      </c>
      <c r="B423" s="1">
        <v>40832</v>
      </c>
      <c r="C423" s="2">
        <f t="shared" si="6"/>
        <v>1</v>
      </c>
      <c r="D423" s="6" t="s">
        <v>1330</v>
      </c>
      <c r="E423" s="3" t="s">
        <v>1333</v>
      </c>
      <c r="F423" s="4" t="s">
        <v>58</v>
      </c>
      <c r="G423" s="3" t="s">
        <v>479</v>
      </c>
      <c r="H423" s="3" t="s">
        <v>480</v>
      </c>
      <c r="I423" s="3" t="s">
        <v>245</v>
      </c>
      <c r="J423" s="3" t="s">
        <v>61</v>
      </c>
      <c r="K423" s="3"/>
      <c r="L423" s="3"/>
      <c r="M423" s="3"/>
      <c r="N423" s="3"/>
      <c r="O423" s="3"/>
      <c r="P423" s="3"/>
      <c r="Q423" s="3"/>
      <c r="R423" s="3"/>
      <c r="S423" s="3"/>
    </row>
    <row r="424" spans="1:19" ht="39" x14ac:dyDescent="0.25">
      <c r="A424" s="1">
        <v>40832</v>
      </c>
      <c r="B424" s="1">
        <v>40832</v>
      </c>
      <c r="C424" s="2">
        <f t="shared" si="6"/>
        <v>1</v>
      </c>
      <c r="D424" s="6" t="s">
        <v>1334</v>
      </c>
      <c r="E424" s="3" t="s">
        <v>1335</v>
      </c>
      <c r="F424" s="4" t="s">
        <v>58</v>
      </c>
      <c r="G424" s="3" t="s">
        <v>1091</v>
      </c>
      <c r="H424" s="3"/>
      <c r="I424" s="3" t="s">
        <v>963</v>
      </c>
      <c r="J424" s="3" t="s">
        <v>61</v>
      </c>
      <c r="K424" s="3"/>
      <c r="L424" s="3"/>
      <c r="M424" s="3"/>
      <c r="N424" s="3"/>
      <c r="O424" s="3"/>
      <c r="P424" s="3"/>
      <c r="Q424" s="3"/>
      <c r="R424" s="3"/>
      <c r="S424" s="3"/>
    </row>
    <row r="425" spans="1:19" ht="26.25" x14ac:dyDescent="0.25">
      <c r="A425" s="1">
        <v>40832</v>
      </c>
      <c r="B425" s="1">
        <v>40832</v>
      </c>
      <c r="C425" s="2">
        <f t="shared" si="6"/>
        <v>1</v>
      </c>
      <c r="D425" s="6" t="s">
        <v>1337</v>
      </c>
      <c r="E425" s="3" t="s">
        <v>1338</v>
      </c>
      <c r="F425" s="4" t="s">
        <v>58</v>
      </c>
      <c r="G425" s="3" t="s">
        <v>1339</v>
      </c>
      <c r="H425" s="3"/>
      <c r="I425" s="3" t="s">
        <v>303</v>
      </c>
      <c r="J425" s="3" t="s">
        <v>61</v>
      </c>
      <c r="K425" s="3"/>
      <c r="L425" s="3"/>
      <c r="M425" s="3"/>
      <c r="N425" s="3"/>
      <c r="O425" s="3"/>
      <c r="P425" s="3"/>
      <c r="Q425" s="3"/>
      <c r="R425" s="3"/>
      <c r="S425" s="3"/>
    </row>
    <row r="426" spans="1:19" ht="39" x14ac:dyDescent="0.25">
      <c r="A426" s="1">
        <v>40832</v>
      </c>
      <c r="B426" s="1">
        <v>40832</v>
      </c>
      <c r="C426" s="2">
        <f t="shared" si="6"/>
        <v>1</v>
      </c>
      <c r="D426" s="6" t="s">
        <v>1343</v>
      </c>
      <c r="E426" s="3" t="s">
        <v>3994</v>
      </c>
      <c r="F426" s="4" t="s">
        <v>58</v>
      </c>
      <c r="G426" s="3" t="s">
        <v>537</v>
      </c>
      <c r="H426" s="3" t="s">
        <v>538</v>
      </c>
      <c r="I426" s="3" t="s">
        <v>227</v>
      </c>
      <c r="J426" s="3" t="s">
        <v>61</v>
      </c>
      <c r="K426" s="3"/>
      <c r="L426" s="3"/>
      <c r="M426" s="3"/>
      <c r="N426" s="3"/>
      <c r="O426" s="3"/>
      <c r="P426" s="3"/>
      <c r="Q426" s="3"/>
      <c r="R426" s="3"/>
      <c r="S426" s="3"/>
    </row>
    <row r="427" spans="1:19" ht="39" x14ac:dyDescent="0.25">
      <c r="A427" s="1">
        <v>40832</v>
      </c>
      <c r="B427" s="1">
        <v>40832</v>
      </c>
      <c r="C427" s="2">
        <f t="shared" si="6"/>
        <v>1</v>
      </c>
      <c r="D427" s="6" t="s">
        <v>1346</v>
      </c>
      <c r="E427" s="3" t="s">
        <v>1347</v>
      </c>
      <c r="F427" s="4" t="s">
        <v>58</v>
      </c>
      <c r="G427" s="3" t="s">
        <v>1348</v>
      </c>
      <c r="H427" s="3"/>
      <c r="I427" s="3" t="s">
        <v>105</v>
      </c>
      <c r="J427" s="3" t="s">
        <v>61</v>
      </c>
      <c r="K427" s="3"/>
      <c r="L427" s="3"/>
      <c r="M427" s="3"/>
      <c r="N427" s="3"/>
      <c r="O427" s="3"/>
      <c r="P427" s="3"/>
      <c r="Q427" s="3"/>
      <c r="R427" s="3"/>
      <c r="S427" s="3"/>
    </row>
    <row r="428" spans="1:19" ht="39" x14ac:dyDescent="0.25">
      <c r="A428" s="1">
        <v>40832</v>
      </c>
      <c r="B428" s="1">
        <v>40832</v>
      </c>
      <c r="C428" s="2">
        <f t="shared" si="6"/>
        <v>1</v>
      </c>
      <c r="D428" s="6" t="s">
        <v>1351</v>
      </c>
      <c r="E428" s="3" t="s">
        <v>1352</v>
      </c>
      <c r="F428" s="4" t="s">
        <v>58</v>
      </c>
      <c r="G428" s="3" t="s">
        <v>1151</v>
      </c>
      <c r="H428" s="3" t="s">
        <v>1152</v>
      </c>
      <c r="I428" s="3" t="s">
        <v>179</v>
      </c>
      <c r="J428" s="3" t="s">
        <v>61</v>
      </c>
      <c r="K428" s="3"/>
      <c r="L428" s="3"/>
      <c r="M428" s="3"/>
      <c r="N428" s="3"/>
      <c r="O428" s="3"/>
      <c r="P428" s="3"/>
      <c r="Q428" s="3"/>
      <c r="R428" s="3"/>
      <c r="S428" s="3"/>
    </row>
    <row r="429" spans="1:19" ht="51.75" x14ac:dyDescent="0.25">
      <c r="A429" s="1">
        <v>40832</v>
      </c>
      <c r="B429" s="1">
        <v>40832</v>
      </c>
      <c r="C429" s="2">
        <f t="shared" si="6"/>
        <v>1</v>
      </c>
      <c r="D429" s="6" t="s">
        <v>1354</v>
      </c>
      <c r="E429" s="3" t="s">
        <v>1355</v>
      </c>
      <c r="F429" s="4" t="s">
        <v>58</v>
      </c>
      <c r="G429" s="3" t="s">
        <v>1356</v>
      </c>
      <c r="H429" s="3"/>
      <c r="I429" s="3" t="s">
        <v>1357</v>
      </c>
      <c r="J429" s="3" t="s">
        <v>61</v>
      </c>
      <c r="K429" s="3"/>
      <c r="L429" s="3"/>
      <c r="M429" s="3"/>
      <c r="N429" s="3"/>
      <c r="O429" s="3"/>
      <c r="P429" s="3"/>
      <c r="Q429" s="3"/>
      <c r="R429" s="3"/>
      <c r="S429" s="3"/>
    </row>
    <row r="430" spans="1:19" ht="39" x14ac:dyDescent="0.25">
      <c r="A430" s="1">
        <v>40833</v>
      </c>
      <c r="B430" s="1">
        <v>40833</v>
      </c>
      <c r="C430" s="2">
        <f t="shared" si="6"/>
        <v>1</v>
      </c>
      <c r="D430" s="6" t="s">
        <v>1360</v>
      </c>
      <c r="E430" s="3" t="s">
        <v>1361</v>
      </c>
      <c r="F430" s="4" t="s">
        <v>58</v>
      </c>
      <c r="G430" s="3" t="s">
        <v>781</v>
      </c>
      <c r="H430" s="3" t="s">
        <v>782</v>
      </c>
      <c r="I430" s="3" t="s">
        <v>236</v>
      </c>
      <c r="J430" s="3" t="s">
        <v>61</v>
      </c>
      <c r="K430" s="3"/>
      <c r="L430" s="3"/>
      <c r="M430" s="3"/>
      <c r="N430" s="3"/>
      <c r="O430" s="3"/>
      <c r="P430" s="3"/>
      <c r="Q430" s="3"/>
      <c r="R430" s="3"/>
      <c r="S430" s="3"/>
    </row>
    <row r="431" spans="1:19" ht="39" x14ac:dyDescent="0.25">
      <c r="A431" s="1">
        <v>40835</v>
      </c>
      <c r="B431" s="1">
        <v>40835</v>
      </c>
      <c r="C431" s="2">
        <f t="shared" si="6"/>
        <v>1</v>
      </c>
      <c r="D431" s="6" t="s">
        <v>1369</v>
      </c>
      <c r="E431" s="3" t="s">
        <v>1370</v>
      </c>
      <c r="F431" s="4" t="s">
        <v>58</v>
      </c>
      <c r="G431" s="3" t="s">
        <v>1163</v>
      </c>
      <c r="H431" s="3" t="s">
        <v>1164</v>
      </c>
      <c r="I431" s="3" t="s">
        <v>71</v>
      </c>
      <c r="J431" s="3" t="s">
        <v>61</v>
      </c>
      <c r="K431" s="3"/>
      <c r="L431" s="3"/>
      <c r="M431" s="3"/>
      <c r="N431" s="3"/>
      <c r="O431" s="3"/>
      <c r="P431" s="3"/>
      <c r="Q431" s="3"/>
      <c r="R431" s="3"/>
      <c r="S431" s="3"/>
    </row>
    <row r="432" spans="1:19" ht="39" x14ac:dyDescent="0.25">
      <c r="A432" s="1">
        <v>40836</v>
      </c>
      <c r="B432" s="1">
        <v>40836</v>
      </c>
      <c r="C432" s="2">
        <f t="shared" si="6"/>
        <v>1</v>
      </c>
      <c r="D432" s="6" t="s">
        <v>1371</v>
      </c>
      <c r="E432" s="3" t="s">
        <v>1372</v>
      </c>
      <c r="F432" s="4" t="s">
        <v>58</v>
      </c>
      <c r="G432" s="3" t="s">
        <v>837</v>
      </c>
      <c r="H432" s="3"/>
      <c r="I432" s="3" t="s">
        <v>60</v>
      </c>
      <c r="J432" s="3" t="s">
        <v>61</v>
      </c>
      <c r="K432" s="3"/>
      <c r="L432" s="3"/>
      <c r="M432" s="3"/>
      <c r="N432" s="3"/>
      <c r="O432" s="3"/>
      <c r="P432" s="3"/>
      <c r="Q432" s="3"/>
      <c r="R432" s="3"/>
      <c r="S432" s="3"/>
    </row>
    <row r="433" spans="1:19" ht="26.25" x14ac:dyDescent="0.25">
      <c r="A433" s="1">
        <v>40836</v>
      </c>
      <c r="B433" s="1">
        <v>40836</v>
      </c>
      <c r="C433" s="2">
        <f t="shared" si="6"/>
        <v>1</v>
      </c>
      <c r="D433" s="6" t="s">
        <v>1373</v>
      </c>
      <c r="E433" s="3" t="s">
        <v>1374</v>
      </c>
      <c r="F433" s="4" t="s">
        <v>58</v>
      </c>
      <c r="G433" s="3" t="s">
        <v>1200</v>
      </c>
      <c r="H433" s="3" t="s">
        <v>1201</v>
      </c>
      <c r="I433" s="3" t="s">
        <v>455</v>
      </c>
      <c r="J433" s="3" t="s">
        <v>61</v>
      </c>
      <c r="K433" s="3"/>
      <c r="L433" s="3"/>
      <c r="M433" s="3"/>
      <c r="N433" s="3"/>
      <c r="O433" s="3"/>
      <c r="P433" s="3"/>
      <c r="Q433" s="3"/>
      <c r="R433" s="3"/>
      <c r="S433" s="3"/>
    </row>
    <row r="434" spans="1:19" ht="39" x14ac:dyDescent="0.25">
      <c r="A434" s="1">
        <v>40837</v>
      </c>
      <c r="B434" s="1">
        <v>40837</v>
      </c>
      <c r="C434" s="2">
        <f t="shared" si="6"/>
        <v>1</v>
      </c>
      <c r="D434" s="6" t="s">
        <v>1379</v>
      </c>
      <c r="E434" s="3" t="s">
        <v>1380</v>
      </c>
      <c r="F434" s="4" t="s">
        <v>58</v>
      </c>
      <c r="G434" s="3" t="s">
        <v>1127</v>
      </c>
      <c r="H434" s="3" t="s">
        <v>1128</v>
      </c>
      <c r="I434" s="3" t="s">
        <v>303</v>
      </c>
      <c r="J434" s="3" t="s">
        <v>61</v>
      </c>
      <c r="K434" s="3"/>
      <c r="L434" s="3"/>
      <c r="M434" s="3"/>
      <c r="N434" s="3"/>
      <c r="O434" s="3"/>
      <c r="P434" s="3"/>
      <c r="Q434" s="3"/>
      <c r="R434" s="3"/>
      <c r="S434" s="3"/>
    </row>
    <row r="435" spans="1:19" ht="51.75" x14ac:dyDescent="0.25">
      <c r="A435" s="1">
        <v>40837</v>
      </c>
      <c r="B435" s="1">
        <v>40837</v>
      </c>
      <c r="C435" s="2">
        <f t="shared" si="6"/>
        <v>1</v>
      </c>
      <c r="D435" s="6" t="s">
        <v>1381</v>
      </c>
      <c r="E435" s="3" t="s">
        <v>1382</v>
      </c>
      <c r="F435" s="4" t="s">
        <v>58</v>
      </c>
      <c r="G435" s="3" t="s">
        <v>1348</v>
      </c>
      <c r="H435" s="3"/>
      <c r="I435" s="3" t="s">
        <v>105</v>
      </c>
      <c r="J435" s="3" t="s">
        <v>61</v>
      </c>
      <c r="K435" s="3"/>
      <c r="L435" s="3"/>
      <c r="M435" s="3"/>
      <c r="N435" s="3"/>
      <c r="O435" s="3"/>
      <c r="P435" s="3"/>
      <c r="Q435" s="3"/>
      <c r="R435" s="3"/>
      <c r="S435" s="3"/>
    </row>
    <row r="436" spans="1:19" ht="39" x14ac:dyDescent="0.25">
      <c r="A436" s="1">
        <v>40838</v>
      </c>
      <c r="B436" s="1">
        <v>40838</v>
      </c>
      <c r="C436" s="2">
        <f t="shared" si="6"/>
        <v>1</v>
      </c>
      <c r="D436" s="6" t="s">
        <v>941</v>
      </c>
      <c r="E436" s="3" t="s">
        <v>1427</v>
      </c>
      <c r="F436" s="4" t="s">
        <v>58</v>
      </c>
      <c r="G436" s="3" t="s">
        <v>943</v>
      </c>
      <c r="H436" s="3" t="s">
        <v>944</v>
      </c>
      <c r="I436" s="3" t="s">
        <v>227</v>
      </c>
      <c r="J436" s="3" t="s">
        <v>61</v>
      </c>
      <c r="K436" s="3"/>
      <c r="L436" s="3"/>
      <c r="M436" s="3"/>
      <c r="N436" s="3"/>
      <c r="O436" s="3"/>
      <c r="P436" s="3"/>
      <c r="Q436" s="3"/>
      <c r="R436" s="3"/>
      <c r="S436" s="3"/>
    </row>
    <row r="437" spans="1:19" ht="39" x14ac:dyDescent="0.25">
      <c r="A437" s="1">
        <v>40838</v>
      </c>
      <c r="B437" s="1">
        <v>40838</v>
      </c>
      <c r="C437" s="2">
        <f t="shared" si="6"/>
        <v>1</v>
      </c>
      <c r="D437" s="6" t="s">
        <v>1428</v>
      </c>
      <c r="E437" s="3" t="s">
        <v>1429</v>
      </c>
      <c r="F437" s="4" t="s">
        <v>58</v>
      </c>
      <c r="G437" s="3" t="s">
        <v>1430</v>
      </c>
      <c r="H437" s="3" t="s">
        <v>1431</v>
      </c>
      <c r="I437" s="3" t="s">
        <v>236</v>
      </c>
      <c r="J437" s="3" t="s">
        <v>61</v>
      </c>
      <c r="K437" s="3"/>
      <c r="L437" s="3"/>
      <c r="M437" s="3"/>
      <c r="N437" s="3"/>
      <c r="O437" s="3"/>
      <c r="P437" s="3"/>
      <c r="Q437" s="3"/>
      <c r="R437" s="3"/>
      <c r="S437" s="3"/>
    </row>
    <row r="438" spans="1:19" ht="39" x14ac:dyDescent="0.25">
      <c r="A438" s="1">
        <v>40838</v>
      </c>
      <c r="B438" s="1">
        <v>40838</v>
      </c>
      <c r="C438" s="2">
        <f t="shared" si="6"/>
        <v>1</v>
      </c>
      <c r="D438" s="6" t="s">
        <v>1434</v>
      </c>
      <c r="E438" s="3" t="s">
        <v>1435</v>
      </c>
      <c r="F438" s="4" t="s">
        <v>58</v>
      </c>
      <c r="G438" s="3" t="s">
        <v>1260</v>
      </c>
      <c r="H438" s="3"/>
      <c r="I438" s="3" t="s">
        <v>1261</v>
      </c>
      <c r="J438" s="3" t="s">
        <v>61</v>
      </c>
      <c r="K438" s="3"/>
      <c r="L438" s="3"/>
      <c r="M438" s="3"/>
      <c r="N438" s="3"/>
      <c r="O438" s="3"/>
      <c r="P438" s="3"/>
      <c r="Q438" s="3"/>
      <c r="R438" s="3"/>
      <c r="S438" s="3"/>
    </row>
    <row r="439" spans="1:19" ht="64.5" x14ac:dyDescent="0.25">
      <c r="A439" s="1">
        <v>40838</v>
      </c>
      <c r="B439" s="1">
        <v>40838</v>
      </c>
      <c r="C439" s="2">
        <f t="shared" si="6"/>
        <v>1</v>
      </c>
      <c r="D439" s="6" t="s">
        <v>1439</v>
      </c>
      <c r="E439" s="3" t="s">
        <v>1440</v>
      </c>
      <c r="F439" s="4" t="s">
        <v>58</v>
      </c>
      <c r="G439" s="3" t="s">
        <v>1260</v>
      </c>
      <c r="H439" s="3"/>
      <c r="I439" s="3" t="s">
        <v>1261</v>
      </c>
      <c r="J439" s="3" t="s">
        <v>61</v>
      </c>
      <c r="K439" s="3"/>
      <c r="L439" s="3"/>
      <c r="M439" s="3"/>
      <c r="N439" s="3"/>
      <c r="O439" s="3"/>
      <c r="P439" s="3"/>
      <c r="Q439" s="3"/>
      <c r="R439" s="3"/>
      <c r="S439" s="3"/>
    </row>
    <row r="440" spans="1:19" ht="39" x14ac:dyDescent="0.25">
      <c r="A440" s="1">
        <v>40838</v>
      </c>
      <c r="B440" s="1">
        <v>40838</v>
      </c>
      <c r="C440" s="2">
        <f t="shared" si="6"/>
        <v>1</v>
      </c>
      <c r="D440" s="6" t="s">
        <v>1442</v>
      </c>
      <c r="E440" s="3" t="s">
        <v>1443</v>
      </c>
      <c r="F440" s="4" t="s">
        <v>58</v>
      </c>
      <c r="G440" s="3" t="s">
        <v>1444</v>
      </c>
      <c r="H440" s="3" t="s">
        <v>1445</v>
      </c>
      <c r="I440" s="3" t="s">
        <v>1446</v>
      </c>
      <c r="J440" s="3" t="s">
        <v>61</v>
      </c>
      <c r="K440" s="3"/>
      <c r="L440" s="3"/>
      <c r="M440" s="3"/>
      <c r="N440" s="3"/>
      <c r="O440" s="3"/>
      <c r="P440" s="3"/>
      <c r="Q440" s="3"/>
      <c r="R440" s="3"/>
      <c r="S440" s="3"/>
    </row>
    <row r="441" spans="1:19" ht="39" x14ac:dyDescent="0.25">
      <c r="A441" s="1">
        <v>40838</v>
      </c>
      <c r="B441" s="1">
        <v>40838</v>
      </c>
      <c r="C441" s="2">
        <f t="shared" si="6"/>
        <v>1</v>
      </c>
      <c r="D441" s="6" t="s">
        <v>1449</v>
      </c>
      <c r="E441" s="3" t="s">
        <v>1450</v>
      </c>
      <c r="F441" s="4" t="s">
        <v>58</v>
      </c>
      <c r="G441" s="3" t="s">
        <v>1451</v>
      </c>
      <c r="H441" s="3"/>
      <c r="I441" s="3" t="s">
        <v>1187</v>
      </c>
      <c r="J441" s="3" t="s">
        <v>61</v>
      </c>
      <c r="K441" s="3"/>
      <c r="L441" s="3"/>
      <c r="M441" s="3"/>
      <c r="N441" s="3"/>
      <c r="O441" s="3"/>
      <c r="P441" s="3"/>
      <c r="Q441" s="3"/>
      <c r="R441" s="3"/>
      <c r="S441" s="3"/>
    </row>
    <row r="442" spans="1:19" ht="39" x14ac:dyDescent="0.25">
      <c r="A442" s="1">
        <v>40838</v>
      </c>
      <c r="B442" s="1">
        <v>40838</v>
      </c>
      <c r="C442" s="2">
        <f t="shared" si="6"/>
        <v>1</v>
      </c>
      <c r="D442" s="6" t="s">
        <v>1453</v>
      </c>
      <c r="E442" s="3" t="s">
        <v>1287</v>
      </c>
      <c r="F442" s="4" t="s">
        <v>58</v>
      </c>
      <c r="G442" s="3" t="s">
        <v>1288</v>
      </c>
      <c r="H442" s="3" t="s">
        <v>1289</v>
      </c>
      <c r="I442" s="3" t="s">
        <v>105</v>
      </c>
      <c r="J442" s="3" t="s">
        <v>61</v>
      </c>
      <c r="K442" s="3"/>
      <c r="L442" s="3"/>
      <c r="M442" s="3"/>
      <c r="N442" s="3"/>
      <c r="O442" s="3"/>
      <c r="P442" s="3"/>
      <c r="Q442" s="3"/>
      <c r="R442" s="3"/>
      <c r="S442" s="3"/>
    </row>
    <row r="443" spans="1:19" ht="26.25" x14ac:dyDescent="0.25">
      <c r="A443" s="1">
        <v>40838</v>
      </c>
      <c r="B443" s="1">
        <v>40838</v>
      </c>
      <c r="C443" s="2">
        <f t="shared" si="6"/>
        <v>1</v>
      </c>
      <c r="D443" s="6" t="s">
        <v>1454</v>
      </c>
      <c r="E443" s="3" t="s">
        <v>1455</v>
      </c>
      <c r="F443" s="4" t="s">
        <v>58</v>
      </c>
      <c r="G443" s="3" t="s">
        <v>737</v>
      </c>
      <c r="H443" s="3" t="s">
        <v>1456</v>
      </c>
      <c r="I443" s="3" t="s">
        <v>60</v>
      </c>
      <c r="J443" s="3" t="s">
        <v>61</v>
      </c>
      <c r="K443" s="3"/>
      <c r="L443" s="3"/>
      <c r="M443" s="3"/>
      <c r="N443" s="3"/>
      <c r="O443" s="3"/>
      <c r="P443" s="3"/>
      <c r="Q443" s="3"/>
      <c r="R443" s="3"/>
      <c r="S443" s="3"/>
    </row>
    <row r="444" spans="1:19" ht="39" x14ac:dyDescent="0.25">
      <c r="A444" s="1">
        <v>40838</v>
      </c>
      <c r="B444" s="1">
        <v>40838</v>
      </c>
      <c r="C444" s="2">
        <f t="shared" si="6"/>
        <v>1</v>
      </c>
      <c r="D444" s="6" t="s">
        <v>1457</v>
      </c>
      <c r="E444" s="3" t="s">
        <v>1458</v>
      </c>
      <c r="F444" s="4" t="s">
        <v>58</v>
      </c>
      <c r="G444" s="3" t="s">
        <v>1459</v>
      </c>
      <c r="H444" s="3" t="s">
        <v>1460</v>
      </c>
      <c r="I444" s="3" t="s">
        <v>60</v>
      </c>
      <c r="J444" s="3" t="s">
        <v>61</v>
      </c>
      <c r="K444" s="3"/>
      <c r="L444" s="3"/>
      <c r="M444" s="3"/>
      <c r="N444" s="3"/>
      <c r="O444" s="3"/>
      <c r="P444" s="3"/>
      <c r="Q444" s="3"/>
      <c r="R444" s="3"/>
      <c r="S444" s="3"/>
    </row>
    <row r="445" spans="1:19" ht="39" x14ac:dyDescent="0.25">
      <c r="A445" s="1">
        <v>40839</v>
      </c>
      <c r="B445" s="1">
        <v>40839</v>
      </c>
      <c r="C445" s="2">
        <f t="shared" si="6"/>
        <v>1</v>
      </c>
      <c r="D445" s="6" t="s">
        <v>1468</v>
      </c>
      <c r="E445" s="3" t="s">
        <v>1469</v>
      </c>
      <c r="F445" s="4" t="s">
        <v>58</v>
      </c>
      <c r="G445" s="3" t="s">
        <v>1470</v>
      </c>
      <c r="H445" s="3" t="s">
        <v>1471</v>
      </c>
      <c r="I445" s="3" t="s">
        <v>1472</v>
      </c>
      <c r="J445" s="3" t="s">
        <v>61</v>
      </c>
      <c r="K445" s="3"/>
      <c r="L445" s="3"/>
      <c r="M445" s="3"/>
      <c r="N445" s="3"/>
      <c r="O445" s="3"/>
      <c r="P445" s="3"/>
      <c r="Q445" s="3"/>
      <c r="R445" s="3"/>
      <c r="S445" s="3"/>
    </row>
    <row r="446" spans="1:19" ht="26.25" x14ac:dyDescent="0.25">
      <c r="A446" s="1">
        <v>40839</v>
      </c>
      <c r="B446" s="1">
        <v>40839</v>
      </c>
      <c r="C446" s="2">
        <f t="shared" si="6"/>
        <v>1</v>
      </c>
      <c r="D446" s="6" t="s">
        <v>1475</v>
      </c>
      <c r="E446" s="3" t="s">
        <v>1476</v>
      </c>
      <c r="F446" s="4" t="s">
        <v>58</v>
      </c>
      <c r="G446" s="3" t="s">
        <v>1477</v>
      </c>
      <c r="H446" s="3" t="s">
        <v>1478</v>
      </c>
      <c r="I446" s="3" t="s">
        <v>1479</v>
      </c>
      <c r="J446" s="3" t="s">
        <v>61</v>
      </c>
      <c r="K446" s="3"/>
      <c r="L446" s="3"/>
      <c r="M446" s="3"/>
      <c r="N446" s="3"/>
      <c r="O446" s="3"/>
      <c r="P446" s="3"/>
      <c r="Q446" s="3"/>
      <c r="R446" s="3"/>
      <c r="S446" s="3"/>
    </row>
    <row r="447" spans="1:19" ht="64.5" x14ac:dyDescent="0.25">
      <c r="A447" s="1">
        <v>40840</v>
      </c>
      <c r="B447" s="1">
        <v>40840</v>
      </c>
      <c r="C447" s="2">
        <f t="shared" si="6"/>
        <v>1</v>
      </c>
      <c r="D447" s="6" t="s">
        <v>1481</v>
      </c>
      <c r="E447" s="3" t="s">
        <v>1482</v>
      </c>
      <c r="F447" s="4" t="s">
        <v>58</v>
      </c>
      <c r="G447" s="3" t="s">
        <v>1483</v>
      </c>
      <c r="H447" s="3" t="s">
        <v>1484</v>
      </c>
      <c r="I447" s="3" t="s">
        <v>193</v>
      </c>
      <c r="J447" s="3" t="s">
        <v>61</v>
      </c>
      <c r="K447" s="3"/>
      <c r="L447" s="3"/>
      <c r="M447" s="3"/>
      <c r="N447" s="3"/>
      <c r="O447" s="3"/>
      <c r="P447" s="3"/>
      <c r="Q447" s="3"/>
      <c r="R447" s="3"/>
      <c r="S447" s="3"/>
    </row>
    <row r="448" spans="1:19" ht="39" x14ac:dyDescent="0.25">
      <c r="A448" s="1">
        <v>40841</v>
      </c>
      <c r="B448" s="1">
        <v>40841</v>
      </c>
      <c r="C448" s="2">
        <f t="shared" si="6"/>
        <v>1</v>
      </c>
      <c r="D448" s="6" t="s">
        <v>1487</v>
      </c>
      <c r="E448" s="3" t="s">
        <v>1488</v>
      </c>
      <c r="F448" s="4" t="s">
        <v>58</v>
      </c>
      <c r="G448" s="3" t="s">
        <v>1127</v>
      </c>
      <c r="H448" s="3" t="s">
        <v>1128</v>
      </c>
      <c r="I448" s="3" t="s">
        <v>303</v>
      </c>
      <c r="J448" s="3" t="s">
        <v>61</v>
      </c>
      <c r="K448" s="3"/>
      <c r="L448" s="3"/>
      <c r="M448" s="3"/>
      <c r="N448" s="3"/>
      <c r="O448" s="3"/>
      <c r="P448" s="3"/>
      <c r="Q448" s="3"/>
      <c r="R448" s="3"/>
      <c r="S448" s="3"/>
    </row>
    <row r="449" spans="1:19" ht="51.75" x14ac:dyDescent="0.25">
      <c r="A449" s="1">
        <v>40842</v>
      </c>
      <c r="B449" s="1">
        <v>40842</v>
      </c>
      <c r="C449" s="2">
        <f t="shared" ref="C449:C512" si="7">(B449-A449)+1</f>
        <v>1</v>
      </c>
      <c r="D449" s="6" t="s">
        <v>1493</v>
      </c>
      <c r="E449" s="3" t="s">
        <v>1494</v>
      </c>
      <c r="F449" s="4" t="s">
        <v>58</v>
      </c>
      <c r="G449" s="3" t="s">
        <v>1260</v>
      </c>
      <c r="H449" s="3"/>
      <c r="I449" s="3" t="s">
        <v>1261</v>
      </c>
      <c r="J449" s="3" t="s">
        <v>61</v>
      </c>
      <c r="K449" s="3"/>
      <c r="L449" s="3"/>
      <c r="M449" s="3"/>
      <c r="N449" s="3"/>
      <c r="O449" s="3"/>
      <c r="P449" s="3"/>
      <c r="Q449" s="3"/>
      <c r="R449" s="3"/>
      <c r="S449" s="3"/>
    </row>
    <row r="450" spans="1:19" x14ac:dyDescent="0.25">
      <c r="A450" s="1">
        <v>40842</v>
      </c>
      <c r="B450" s="1">
        <v>40842</v>
      </c>
      <c r="C450" s="2">
        <f t="shared" si="7"/>
        <v>1</v>
      </c>
      <c r="D450" s="6" t="s">
        <v>1496</v>
      </c>
      <c r="E450" s="3" t="s">
        <v>1497</v>
      </c>
      <c r="F450" s="4" t="s">
        <v>58</v>
      </c>
      <c r="G450" s="3" t="s">
        <v>1348</v>
      </c>
      <c r="H450" s="3"/>
      <c r="I450" s="3" t="s">
        <v>105</v>
      </c>
      <c r="J450" s="3" t="s">
        <v>61</v>
      </c>
      <c r="K450" s="3"/>
      <c r="L450" s="3"/>
      <c r="M450" s="3"/>
      <c r="N450" s="3"/>
      <c r="O450" s="3"/>
      <c r="P450" s="3"/>
      <c r="Q450" s="3"/>
      <c r="R450" s="3"/>
      <c r="S450" s="3"/>
    </row>
    <row r="451" spans="1:19" ht="51.75" x14ac:dyDescent="0.25">
      <c r="A451" s="1">
        <v>40842</v>
      </c>
      <c r="B451" s="1">
        <v>40842</v>
      </c>
      <c r="C451" s="2">
        <f t="shared" si="7"/>
        <v>1</v>
      </c>
      <c r="D451" s="6" t="s">
        <v>1498</v>
      </c>
      <c r="E451" s="3" t="s">
        <v>847</v>
      </c>
      <c r="F451" s="4" t="s">
        <v>58</v>
      </c>
      <c r="G451" s="3" t="s">
        <v>1499</v>
      </c>
      <c r="H451" s="3"/>
      <c r="I451" s="3" t="s">
        <v>71</v>
      </c>
      <c r="J451" s="3" t="s">
        <v>61</v>
      </c>
      <c r="K451" s="3"/>
      <c r="L451" s="3"/>
      <c r="M451" s="3"/>
      <c r="N451" s="3"/>
      <c r="O451" s="3"/>
      <c r="P451" s="3"/>
      <c r="Q451" s="3"/>
      <c r="R451" s="3"/>
      <c r="S451" s="3"/>
    </row>
    <row r="452" spans="1:19" ht="51.75" x14ac:dyDescent="0.25">
      <c r="A452" s="1">
        <v>40843</v>
      </c>
      <c r="B452" s="1">
        <v>40843</v>
      </c>
      <c r="C452" s="2">
        <f t="shared" si="7"/>
        <v>1</v>
      </c>
      <c r="D452" s="6" t="s">
        <v>1502</v>
      </c>
      <c r="E452" s="3" t="s">
        <v>1503</v>
      </c>
      <c r="F452" s="4" t="s">
        <v>58</v>
      </c>
      <c r="G452" s="3" t="s">
        <v>1504</v>
      </c>
      <c r="H452" s="3" t="s">
        <v>1505</v>
      </c>
      <c r="I452" s="3" t="s">
        <v>455</v>
      </c>
      <c r="J452" s="3" t="s">
        <v>61</v>
      </c>
      <c r="K452" s="3"/>
      <c r="L452" s="3"/>
      <c r="M452" s="3"/>
      <c r="N452" s="3"/>
      <c r="O452" s="3"/>
      <c r="P452" s="3"/>
      <c r="Q452" s="3"/>
      <c r="R452" s="3"/>
      <c r="S452" s="3"/>
    </row>
    <row r="453" spans="1:19" ht="51.75" x14ac:dyDescent="0.25">
      <c r="A453" s="1">
        <v>40843</v>
      </c>
      <c r="B453" s="1">
        <v>40843</v>
      </c>
      <c r="C453" s="2">
        <f t="shared" si="7"/>
        <v>1</v>
      </c>
      <c r="D453" s="6" t="s">
        <v>1508</v>
      </c>
      <c r="E453" s="3" t="s">
        <v>1509</v>
      </c>
      <c r="F453" s="4" t="s">
        <v>58</v>
      </c>
      <c r="G453" s="3" t="s">
        <v>1510</v>
      </c>
      <c r="H453" s="3" t="s">
        <v>1511</v>
      </c>
      <c r="I453" s="3" t="s">
        <v>105</v>
      </c>
      <c r="J453" s="3" t="s">
        <v>61</v>
      </c>
      <c r="K453" s="3"/>
      <c r="L453" s="3"/>
      <c r="M453" s="3"/>
      <c r="N453" s="3"/>
      <c r="O453" s="3"/>
      <c r="P453" s="3"/>
      <c r="Q453" s="3"/>
      <c r="R453" s="3"/>
      <c r="S453" s="3"/>
    </row>
    <row r="454" spans="1:19" ht="39" x14ac:dyDescent="0.25">
      <c r="A454" s="1">
        <v>40843</v>
      </c>
      <c r="B454" s="1">
        <v>40843</v>
      </c>
      <c r="C454" s="2">
        <f t="shared" si="7"/>
        <v>1</v>
      </c>
      <c r="D454" s="6" t="s">
        <v>1514</v>
      </c>
      <c r="E454" s="3" t="s">
        <v>1515</v>
      </c>
      <c r="F454" s="4" t="s">
        <v>58</v>
      </c>
      <c r="G454" s="3" t="s">
        <v>529</v>
      </c>
      <c r="H454" s="3"/>
      <c r="I454" s="3" t="s">
        <v>530</v>
      </c>
      <c r="J454" s="3" t="s">
        <v>61</v>
      </c>
      <c r="K454" s="3"/>
      <c r="L454" s="3"/>
      <c r="M454" s="3"/>
      <c r="N454" s="3"/>
      <c r="O454" s="3"/>
      <c r="P454" s="3"/>
      <c r="Q454" s="3"/>
      <c r="R454" s="3"/>
      <c r="S454" s="3"/>
    </row>
    <row r="455" spans="1:19" ht="39" x14ac:dyDescent="0.25">
      <c r="A455" s="1">
        <v>40844</v>
      </c>
      <c r="B455" s="1">
        <v>40844</v>
      </c>
      <c r="C455" s="2">
        <f t="shared" si="7"/>
        <v>1</v>
      </c>
      <c r="D455" s="6" t="s">
        <v>1527</v>
      </c>
      <c r="E455" s="3" t="s">
        <v>1528</v>
      </c>
      <c r="F455" s="4" t="s">
        <v>58</v>
      </c>
      <c r="G455" s="3" t="s">
        <v>1529</v>
      </c>
      <c r="H455" s="3" t="s">
        <v>1530</v>
      </c>
      <c r="I455" s="3" t="s">
        <v>245</v>
      </c>
      <c r="J455" s="3" t="s">
        <v>61</v>
      </c>
      <c r="K455" s="3"/>
      <c r="L455" s="3"/>
      <c r="M455" s="3"/>
      <c r="N455" s="3"/>
      <c r="O455" s="3"/>
      <c r="P455" s="3"/>
      <c r="Q455" s="3"/>
      <c r="R455" s="3"/>
      <c r="S455" s="3"/>
    </row>
    <row r="456" spans="1:19" ht="51.75" x14ac:dyDescent="0.25">
      <c r="A456" s="1">
        <v>40844</v>
      </c>
      <c r="B456" s="1">
        <v>40844</v>
      </c>
      <c r="C456" s="2">
        <f t="shared" si="7"/>
        <v>1</v>
      </c>
      <c r="D456" s="6" t="s">
        <v>1534</v>
      </c>
      <c r="E456" s="3" t="s">
        <v>1535</v>
      </c>
      <c r="F456" s="4" t="s">
        <v>58</v>
      </c>
      <c r="G456" s="3" t="s">
        <v>1536</v>
      </c>
      <c r="H456" s="3" t="s">
        <v>1537</v>
      </c>
      <c r="I456" s="3" t="s">
        <v>179</v>
      </c>
      <c r="J456" s="3" t="s">
        <v>61</v>
      </c>
      <c r="K456" s="3"/>
      <c r="L456" s="3"/>
      <c r="M456" s="3"/>
      <c r="N456" s="3"/>
      <c r="O456" s="3"/>
      <c r="P456" s="3"/>
      <c r="Q456" s="3"/>
      <c r="R456" s="3"/>
      <c r="S456" s="3"/>
    </row>
    <row r="457" spans="1:19" ht="26.25" x14ac:dyDescent="0.25">
      <c r="A457" s="1">
        <v>40844</v>
      </c>
      <c r="B457" s="1">
        <v>40844</v>
      </c>
      <c r="C457" s="2">
        <f t="shared" si="7"/>
        <v>1</v>
      </c>
      <c r="D457" s="6" t="s">
        <v>840</v>
      </c>
      <c r="E457" s="3" t="s">
        <v>841</v>
      </c>
      <c r="F457" s="4" t="s">
        <v>58</v>
      </c>
      <c r="G457" s="3" t="s">
        <v>842</v>
      </c>
      <c r="H457" s="3" t="s">
        <v>843</v>
      </c>
      <c r="I457" s="3" t="s">
        <v>105</v>
      </c>
      <c r="J457" s="3" t="s">
        <v>61</v>
      </c>
      <c r="K457" s="3"/>
      <c r="L457" s="3"/>
      <c r="M457" s="3"/>
      <c r="N457" s="3"/>
      <c r="O457" s="3"/>
      <c r="P457" s="3"/>
      <c r="Q457" s="3"/>
      <c r="R457" s="3"/>
      <c r="S457" s="3"/>
    </row>
    <row r="458" spans="1:19" ht="26.25" x14ac:dyDescent="0.25">
      <c r="A458" s="1">
        <v>40844</v>
      </c>
      <c r="B458" s="1">
        <v>40844</v>
      </c>
      <c r="C458" s="2">
        <f t="shared" si="7"/>
        <v>1</v>
      </c>
      <c r="D458" s="6" t="s">
        <v>1540</v>
      </c>
      <c r="E458" s="3" t="s">
        <v>1541</v>
      </c>
      <c r="F458" s="4" t="s">
        <v>58</v>
      </c>
      <c r="G458" s="3" t="s">
        <v>1542</v>
      </c>
      <c r="H458" s="3" t="s">
        <v>1543</v>
      </c>
      <c r="I458" s="3" t="s">
        <v>60</v>
      </c>
      <c r="J458" s="3" t="s">
        <v>61</v>
      </c>
      <c r="K458" s="3"/>
      <c r="L458" s="3"/>
      <c r="M458" s="3"/>
      <c r="N458" s="3"/>
      <c r="O458" s="3"/>
      <c r="P458" s="3"/>
      <c r="Q458" s="3"/>
      <c r="R458" s="3"/>
      <c r="S458" s="3"/>
    </row>
    <row r="459" spans="1:19" ht="51.75" x14ac:dyDescent="0.25">
      <c r="A459" s="1">
        <v>40844</v>
      </c>
      <c r="B459" s="1">
        <v>40844</v>
      </c>
      <c r="C459" s="2">
        <f t="shared" si="7"/>
        <v>1</v>
      </c>
      <c r="D459" s="6" t="s">
        <v>1546</v>
      </c>
      <c r="E459" s="3" t="s">
        <v>1547</v>
      </c>
      <c r="F459" s="4" t="s">
        <v>58</v>
      </c>
      <c r="G459" s="3" t="s">
        <v>1348</v>
      </c>
      <c r="H459" s="3"/>
      <c r="I459" s="3" t="s">
        <v>105</v>
      </c>
      <c r="J459" s="3" t="s">
        <v>61</v>
      </c>
      <c r="K459" s="3"/>
      <c r="L459" s="3"/>
      <c r="M459" s="3"/>
      <c r="N459" s="3"/>
      <c r="O459" s="3"/>
      <c r="P459" s="3"/>
      <c r="Q459" s="3"/>
      <c r="R459" s="3"/>
      <c r="S459" s="3"/>
    </row>
    <row r="460" spans="1:19" ht="26.25" x14ac:dyDescent="0.25">
      <c r="A460" s="1">
        <v>40844</v>
      </c>
      <c r="B460" s="1">
        <v>40844</v>
      </c>
      <c r="C460" s="2">
        <f t="shared" si="7"/>
        <v>1</v>
      </c>
      <c r="D460" s="6" t="s">
        <v>1548</v>
      </c>
      <c r="E460" s="3" t="s">
        <v>1549</v>
      </c>
      <c r="F460" s="4" t="s">
        <v>58</v>
      </c>
      <c r="G460" s="3" t="s">
        <v>1200</v>
      </c>
      <c r="H460" s="3" t="s">
        <v>1550</v>
      </c>
      <c r="I460" s="3" t="s">
        <v>455</v>
      </c>
      <c r="J460" s="3" t="s">
        <v>61</v>
      </c>
      <c r="K460" s="3"/>
      <c r="L460" s="3"/>
      <c r="M460" s="3"/>
      <c r="N460" s="3"/>
      <c r="O460" s="3"/>
      <c r="P460" s="3"/>
      <c r="Q460" s="3"/>
      <c r="R460" s="3"/>
      <c r="S460" s="3"/>
    </row>
    <row r="461" spans="1:19" ht="26.25" x14ac:dyDescent="0.25">
      <c r="A461" s="1">
        <v>40844</v>
      </c>
      <c r="B461" s="1">
        <v>40844</v>
      </c>
      <c r="C461" s="2">
        <f t="shared" si="7"/>
        <v>1</v>
      </c>
      <c r="D461" s="6" t="s">
        <v>1551</v>
      </c>
      <c r="E461" s="3" t="s">
        <v>1551</v>
      </c>
      <c r="F461" s="4" t="s">
        <v>58</v>
      </c>
      <c r="G461" s="3" t="s">
        <v>1327</v>
      </c>
      <c r="H461" s="3"/>
      <c r="I461" s="3" t="s">
        <v>60</v>
      </c>
      <c r="J461" s="3" t="s">
        <v>61</v>
      </c>
      <c r="K461" s="3"/>
      <c r="L461" s="3"/>
      <c r="M461" s="3"/>
      <c r="N461" s="3"/>
      <c r="O461" s="3"/>
      <c r="P461" s="3"/>
      <c r="Q461" s="3"/>
      <c r="R461" s="3"/>
      <c r="S461" s="3"/>
    </row>
    <row r="462" spans="1:19" ht="51.75" x14ac:dyDescent="0.25">
      <c r="A462" s="1">
        <v>40844</v>
      </c>
      <c r="B462" s="1">
        <v>40844</v>
      </c>
      <c r="C462" s="2">
        <f t="shared" si="7"/>
        <v>1</v>
      </c>
      <c r="D462" s="6" t="s">
        <v>1552</v>
      </c>
      <c r="E462" s="3" t="s">
        <v>1553</v>
      </c>
      <c r="F462" s="4" t="s">
        <v>58</v>
      </c>
      <c r="G462" s="3" t="s">
        <v>1554</v>
      </c>
      <c r="H462" s="3" t="s">
        <v>1555</v>
      </c>
      <c r="I462" s="3" t="s">
        <v>193</v>
      </c>
      <c r="J462" s="3" t="s">
        <v>61</v>
      </c>
      <c r="K462" s="3"/>
      <c r="L462" s="3"/>
      <c r="M462" s="3"/>
      <c r="N462" s="3"/>
      <c r="O462" s="3"/>
      <c r="P462" s="3"/>
      <c r="Q462" s="3"/>
      <c r="R462" s="3"/>
      <c r="S462" s="3"/>
    </row>
    <row r="463" spans="1:19" ht="39" x14ac:dyDescent="0.25">
      <c r="A463" s="1">
        <v>40844</v>
      </c>
      <c r="B463" s="1">
        <v>40844</v>
      </c>
      <c r="C463" s="2">
        <f t="shared" si="7"/>
        <v>1</v>
      </c>
      <c r="D463" s="6" t="s">
        <v>1557</v>
      </c>
      <c r="E463" s="3" t="s">
        <v>1558</v>
      </c>
      <c r="F463" s="4" t="s">
        <v>58</v>
      </c>
      <c r="G463" s="3" t="s">
        <v>1559</v>
      </c>
      <c r="H463" s="3" t="s">
        <v>1560</v>
      </c>
      <c r="I463" s="3" t="s">
        <v>303</v>
      </c>
      <c r="J463" s="3" t="s">
        <v>61</v>
      </c>
      <c r="K463" s="3"/>
      <c r="L463" s="3"/>
      <c r="M463" s="3"/>
      <c r="N463" s="3"/>
      <c r="O463" s="3"/>
      <c r="P463" s="3"/>
      <c r="Q463" s="3"/>
      <c r="R463" s="3"/>
      <c r="S463" s="3"/>
    </row>
    <row r="464" spans="1:19" ht="26.25" x14ac:dyDescent="0.25">
      <c r="A464" s="1">
        <v>40844</v>
      </c>
      <c r="B464" s="1">
        <v>40844</v>
      </c>
      <c r="C464" s="2">
        <f t="shared" si="7"/>
        <v>1</v>
      </c>
      <c r="D464" s="6" t="s">
        <v>1564</v>
      </c>
      <c r="E464" s="3" t="s">
        <v>1564</v>
      </c>
      <c r="F464" s="4" t="s">
        <v>58</v>
      </c>
      <c r="G464" s="3" t="s">
        <v>297</v>
      </c>
      <c r="H464" s="3"/>
      <c r="I464" s="3" t="s">
        <v>60</v>
      </c>
      <c r="J464" s="3" t="s">
        <v>61</v>
      </c>
      <c r="K464" s="3"/>
      <c r="L464" s="3"/>
      <c r="M464" s="3"/>
      <c r="N464" s="3"/>
      <c r="O464" s="3"/>
      <c r="P464" s="3"/>
      <c r="Q464" s="3"/>
      <c r="R464" s="3"/>
      <c r="S464" s="3"/>
    </row>
    <row r="465" spans="1:19" ht="26.25" x14ac:dyDescent="0.25">
      <c r="A465" s="1">
        <v>40845</v>
      </c>
      <c r="B465" s="1">
        <v>40845</v>
      </c>
      <c r="C465" s="2">
        <f t="shared" si="7"/>
        <v>1</v>
      </c>
      <c r="D465" s="6" t="s">
        <v>1592</v>
      </c>
      <c r="E465" s="3" t="s">
        <v>1593</v>
      </c>
      <c r="F465" s="4" t="s">
        <v>58</v>
      </c>
      <c r="G465" s="3" t="s">
        <v>1594</v>
      </c>
      <c r="H465" s="3" t="s">
        <v>1595</v>
      </c>
      <c r="I465" s="3" t="s">
        <v>71</v>
      </c>
      <c r="J465" s="3" t="s">
        <v>61</v>
      </c>
      <c r="K465" s="3"/>
      <c r="L465" s="3"/>
      <c r="M465" s="3"/>
      <c r="N465" s="3"/>
      <c r="O465" s="3"/>
      <c r="P465" s="3"/>
      <c r="Q465" s="3"/>
      <c r="R465" s="3"/>
      <c r="S465" s="3"/>
    </row>
    <row r="466" spans="1:19" ht="26.25" x14ac:dyDescent="0.25">
      <c r="A466" s="1">
        <v>40845</v>
      </c>
      <c r="B466" s="1">
        <v>40845</v>
      </c>
      <c r="C466" s="2">
        <f t="shared" si="7"/>
        <v>1</v>
      </c>
      <c r="D466" s="6" t="s">
        <v>1599</v>
      </c>
      <c r="E466" s="3" t="s">
        <v>1600</v>
      </c>
      <c r="F466" s="4" t="s">
        <v>58</v>
      </c>
      <c r="G466" s="3" t="s">
        <v>1601</v>
      </c>
      <c r="H466" s="3"/>
      <c r="I466" s="3" t="s">
        <v>85</v>
      </c>
      <c r="J466" s="3" t="s">
        <v>61</v>
      </c>
      <c r="K466" s="3"/>
      <c r="L466" s="3"/>
      <c r="M466" s="3"/>
      <c r="N466" s="3"/>
      <c r="O466" s="3"/>
      <c r="P466" s="3"/>
      <c r="Q466" s="3"/>
      <c r="R466" s="3"/>
      <c r="S466" s="3"/>
    </row>
    <row r="467" spans="1:19" ht="26.25" x14ac:dyDescent="0.25">
      <c r="A467" s="1">
        <v>40845</v>
      </c>
      <c r="B467" s="1">
        <v>40845</v>
      </c>
      <c r="C467" s="2">
        <f t="shared" si="7"/>
        <v>1</v>
      </c>
      <c r="D467" s="6" t="s">
        <v>1603</v>
      </c>
      <c r="E467" s="3" t="s">
        <v>1604</v>
      </c>
      <c r="F467" s="4" t="s">
        <v>58</v>
      </c>
      <c r="G467" s="3" t="s">
        <v>1605</v>
      </c>
      <c r="H467" s="3"/>
      <c r="I467" s="3" t="s">
        <v>1606</v>
      </c>
      <c r="J467" s="3" t="s">
        <v>61</v>
      </c>
      <c r="K467" s="3"/>
      <c r="L467" s="3"/>
      <c r="M467" s="3"/>
      <c r="N467" s="3"/>
      <c r="O467" s="3"/>
      <c r="P467" s="3"/>
      <c r="Q467" s="3"/>
      <c r="R467" s="3"/>
      <c r="S467" s="3"/>
    </row>
    <row r="468" spans="1:19" x14ac:dyDescent="0.25">
      <c r="A468" s="1">
        <v>40845</v>
      </c>
      <c r="B468" s="1">
        <v>40845</v>
      </c>
      <c r="C468" s="2">
        <f t="shared" si="7"/>
        <v>1</v>
      </c>
      <c r="D468" s="6" t="s">
        <v>1608</v>
      </c>
      <c r="E468" s="3" t="s">
        <v>1608</v>
      </c>
      <c r="F468" s="4" t="s">
        <v>58</v>
      </c>
      <c r="G468" s="3" t="s">
        <v>1609</v>
      </c>
      <c r="H468" s="3" t="s">
        <v>1610</v>
      </c>
      <c r="I468" s="3" t="s">
        <v>60</v>
      </c>
      <c r="J468" s="3" t="s">
        <v>61</v>
      </c>
      <c r="K468" s="3"/>
      <c r="L468" s="3"/>
      <c r="M468" s="3"/>
      <c r="N468" s="3"/>
      <c r="O468" s="3"/>
      <c r="P468" s="3"/>
      <c r="Q468" s="3"/>
      <c r="R468" s="3"/>
      <c r="S468" s="3"/>
    </row>
    <row r="469" spans="1:19" ht="26.25" x14ac:dyDescent="0.25">
      <c r="A469" s="1">
        <v>40845</v>
      </c>
      <c r="B469" s="1">
        <v>40845</v>
      </c>
      <c r="C469" s="2">
        <f t="shared" si="7"/>
        <v>1</v>
      </c>
      <c r="D469" s="6" t="s">
        <v>1611</v>
      </c>
      <c r="E469" s="3" t="s">
        <v>1612</v>
      </c>
      <c r="F469" s="4" t="s">
        <v>58</v>
      </c>
      <c r="G469" s="3" t="s">
        <v>1613</v>
      </c>
      <c r="H469" s="3"/>
      <c r="I469" s="3" t="s">
        <v>172</v>
      </c>
      <c r="J469" s="3" t="s">
        <v>61</v>
      </c>
      <c r="K469" s="3"/>
      <c r="L469" s="3"/>
      <c r="M469" s="3"/>
      <c r="N469" s="3"/>
      <c r="O469" s="3"/>
      <c r="P469" s="3"/>
      <c r="Q469" s="3"/>
      <c r="R469" s="3"/>
      <c r="S469" s="3"/>
    </row>
    <row r="470" spans="1:19" ht="26.25" x14ac:dyDescent="0.25">
      <c r="A470" s="1">
        <v>40845</v>
      </c>
      <c r="B470" s="1">
        <v>40845</v>
      </c>
      <c r="C470" s="2">
        <f t="shared" si="7"/>
        <v>1</v>
      </c>
      <c r="D470" s="6" t="s">
        <v>617</v>
      </c>
      <c r="E470" s="3" t="s">
        <v>997</v>
      </c>
      <c r="F470" s="4" t="s">
        <v>58</v>
      </c>
      <c r="G470" s="3" t="s">
        <v>619</v>
      </c>
      <c r="H470" s="3" t="s">
        <v>620</v>
      </c>
      <c r="I470" s="3" t="s">
        <v>303</v>
      </c>
      <c r="J470" s="3" t="s">
        <v>61</v>
      </c>
      <c r="K470" s="3"/>
      <c r="L470" s="3"/>
      <c r="M470" s="3"/>
      <c r="N470" s="3"/>
      <c r="O470" s="3"/>
      <c r="P470" s="3"/>
      <c r="Q470" s="3"/>
      <c r="R470" s="3"/>
      <c r="S470" s="3"/>
    </row>
    <row r="471" spans="1:19" ht="26.25" x14ac:dyDescent="0.25">
      <c r="A471" s="1">
        <v>40845</v>
      </c>
      <c r="B471" s="1">
        <v>40845</v>
      </c>
      <c r="C471" s="2">
        <f t="shared" si="7"/>
        <v>1</v>
      </c>
      <c r="D471" s="6" t="s">
        <v>1616</v>
      </c>
      <c r="E471" s="3" t="s">
        <v>1617</v>
      </c>
      <c r="F471" s="4" t="s">
        <v>58</v>
      </c>
      <c r="G471" s="3" t="s">
        <v>529</v>
      </c>
      <c r="H471" s="3"/>
      <c r="I471" s="3" t="s">
        <v>1618</v>
      </c>
      <c r="J471" s="3" t="s">
        <v>61</v>
      </c>
      <c r="K471" s="3"/>
      <c r="L471" s="3"/>
      <c r="M471" s="3"/>
      <c r="N471" s="3"/>
      <c r="O471" s="3"/>
      <c r="P471" s="3"/>
      <c r="Q471" s="3"/>
      <c r="R471" s="3"/>
      <c r="S471" s="3"/>
    </row>
    <row r="472" spans="1:19" ht="39" x14ac:dyDescent="0.25">
      <c r="A472" s="1">
        <v>40845</v>
      </c>
      <c r="B472" s="1">
        <v>40845</v>
      </c>
      <c r="C472" s="2">
        <f t="shared" si="7"/>
        <v>1</v>
      </c>
      <c r="D472" s="6" t="s">
        <v>1621</v>
      </c>
      <c r="E472" s="3" t="s">
        <v>1622</v>
      </c>
      <c r="F472" s="4" t="s">
        <v>58</v>
      </c>
      <c r="G472" s="3" t="s">
        <v>1623</v>
      </c>
      <c r="H472" s="3"/>
      <c r="I472" s="3" t="s">
        <v>1624</v>
      </c>
      <c r="J472" s="3" t="s">
        <v>61</v>
      </c>
      <c r="K472" s="3"/>
      <c r="L472" s="3"/>
      <c r="M472" s="3"/>
      <c r="N472" s="3"/>
      <c r="O472" s="3"/>
      <c r="P472" s="3"/>
      <c r="Q472" s="3"/>
      <c r="R472" s="3"/>
      <c r="S472" s="3"/>
    </row>
    <row r="473" spans="1:19" ht="26.25" x14ac:dyDescent="0.25">
      <c r="A473" s="1">
        <v>40845</v>
      </c>
      <c r="B473" s="1">
        <v>40845</v>
      </c>
      <c r="C473" s="2">
        <f t="shared" si="7"/>
        <v>1</v>
      </c>
      <c r="D473" s="6" t="s">
        <v>1012</v>
      </c>
      <c r="E473" s="3" t="s">
        <v>1626</v>
      </c>
      <c r="F473" s="4" t="s">
        <v>58</v>
      </c>
      <c r="G473" s="3" t="s">
        <v>1627</v>
      </c>
      <c r="H473" s="3" t="s">
        <v>1628</v>
      </c>
      <c r="I473" s="3" t="s">
        <v>227</v>
      </c>
      <c r="J473" s="3" t="s">
        <v>61</v>
      </c>
      <c r="K473" s="3"/>
      <c r="L473" s="3"/>
      <c r="M473" s="3"/>
      <c r="N473" s="3"/>
      <c r="O473" s="3"/>
      <c r="P473" s="3"/>
      <c r="Q473" s="3"/>
      <c r="R473" s="3"/>
      <c r="S473" s="3"/>
    </row>
    <row r="474" spans="1:19" ht="26.25" x14ac:dyDescent="0.25">
      <c r="A474" s="1">
        <v>40845</v>
      </c>
      <c r="B474" s="1">
        <v>40845</v>
      </c>
      <c r="C474" s="2">
        <f t="shared" si="7"/>
        <v>1</v>
      </c>
      <c r="D474" s="6" t="s">
        <v>1633</v>
      </c>
      <c r="E474" s="3" t="s">
        <v>1633</v>
      </c>
      <c r="F474" s="4" t="s">
        <v>58</v>
      </c>
      <c r="G474" s="3" t="s">
        <v>551</v>
      </c>
      <c r="H474" s="3" t="s">
        <v>552</v>
      </c>
      <c r="I474" s="3" t="s">
        <v>60</v>
      </c>
      <c r="J474" s="3" t="s">
        <v>61</v>
      </c>
      <c r="K474" s="3"/>
      <c r="L474" s="3"/>
      <c r="M474" s="3"/>
      <c r="N474" s="3"/>
      <c r="O474" s="3"/>
      <c r="P474" s="3"/>
      <c r="Q474" s="3"/>
      <c r="R474" s="3"/>
      <c r="S474" s="3"/>
    </row>
    <row r="475" spans="1:19" ht="51.75" x14ac:dyDescent="0.25">
      <c r="A475" s="1">
        <v>40845</v>
      </c>
      <c r="B475" s="1">
        <v>40845</v>
      </c>
      <c r="C475" s="2">
        <f t="shared" si="7"/>
        <v>1</v>
      </c>
      <c r="D475" s="6" t="s">
        <v>1634</v>
      </c>
      <c r="E475" s="3" t="s">
        <v>1635</v>
      </c>
      <c r="F475" s="4" t="s">
        <v>58</v>
      </c>
      <c r="G475" s="3" t="s">
        <v>1348</v>
      </c>
      <c r="H475" s="3"/>
      <c r="I475" s="3" t="s">
        <v>105</v>
      </c>
      <c r="J475" s="3" t="s">
        <v>61</v>
      </c>
      <c r="K475" s="3"/>
      <c r="L475" s="3"/>
      <c r="M475" s="3"/>
      <c r="N475" s="3"/>
      <c r="O475" s="3"/>
      <c r="P475" s="3"/>
      <c r="Q475" s="3"/>
      <c r="R475" s="3"/>
      <c r="S475" s="3"/>
    </row>
    <row r="476" spans="1:19" ht="26.25" x14ac:dyDescent="0.25">
      <c r="A476" s="1">
        <v>40845</v>
      </c>
      <c r="B476" s="1">
        <v>40845</v>
      </c>
      <c r="C476" s="2">
        <f t="shared" si="7"/>
        <v>1</v>
      </c>
      <c r="D476" s="6" t="s">
        <v>1636</v>
      </c>
      <c r="E476" s="3" t="s">
        <v>1636</v>
      </c>
      <c r="F476" s="4" t="s">
        <v>58</v>
      </c>
      <c r="G476" s="3" t="s">
        <v>297</v>
      </c>
      <c r="H476" s="3"/>
      <c r="I476" s="3" t="s">
        <v>60</v>
      </c>
      <c r="J476" s="3" t="s">
        <v>61</v>
      </c>
      <c r="K476" s="3"/>
      <c r="L476" s="3"/>
      <c r="M476" s="3"/>
      <c r="N476" s="3"/>
      <c r="O476" s="3"/>
      <c r="P476" s="3"/>
      <c r="Q476" s="3"/>
      <c r="R476" s="3"/>
      <c r="S476" s="3"/>
    </row>
    <row r="477" spans="1:19" ht="39" x14ac:dyDescent="0.25">
      <c r="A477" s="1">
        <v>40845</v>
      </c>
      <c r="B477" s="1">
        <v>40845</v>
      </c>
      <c r="C477" s="2">
        <f t="shared" si="7"/>
        <v>1</v>
      </c>
      <c r="D477" s="6" t="s">
        <v>1637</v>
      </c>
      <c r="E477" s="3" t="s">
        <v>1638</v>
      </c>
      <c r="F477" s="4" t="s">
        <v>58</v>
      </c>
      <c r="G477" s="3" t="s">
        <v>1185</v>
      </c>
      <c r="H477" s="3" t="s">
        <v>1186</v>
      </c>
      <c r="I477" s="3" t="s">
        <v>1187</v>
      </c>
      <c r="J477" s="3" t="s">
        <v>61</v>
      </c>
      <c r="K477" s="3"/>
      <c r="L477" s="3"/>
      <c r="M477" s="3"/>
      <c r="N477" s="3"/>
      <c r="O477" s="3"/>
      <c r="P477" s="3"/>
      <c r="Q477" s="3"/>
      <c r="R477" s="3"/>
      <c r="S477" s="3"/>
    </row>
    <row r="478" spans="1:19" ht="26.25" x14ac:dyDescent="0.25">
      <c r="A478" s="1">
        <v>40845</v>
      </c>
      <c r="B478" s="1">
        <v>40845</v>
      </c>
      <c r="C478" s="2">
        <f t="shared" si="7"/>
        <v>1</v>
      </c>
      <c r="D478" s="6" t="s">
        <v>1640</v>
      </c>
      <c r="E478" s="3" t="s">
        <v>1641</v>
      </c>
      <c r="F478" s="4" t="s">
        <v>58</v>
      </c>
      <c r="G478" s="3" t="s">
        <v>1642</v>
      </c>
      <c r="H478" s="3"/>
      <c r="I478" s="3" t="s">
        <v>165</v>
      </c>
      <c r="J478" s="3" t="s">
        <v>61</v>
      </c>
      <c r="K478" s="3"/>
      <c r="L478" s="3"/>
      <c r="M478" s="3"/>
      <c r="N478" s="3"/>
      <c r="O478" s="3"/>
      <c r="P478" s="3"/>
      <c r="Q478" s="3"/>
      <c r="R478" s="3"/>
      <c r="S478" s="3"/>
    </row>
    <row r="479" spans="1:19" ht="26.25" x14ac:dyDescent="0.25">
      <c r="A479" s="1">
        <v>40846</v>
      </c>
      <c r="B479" s="1">
        <v>40846</v>
      </c>
      <c r="C479" s="2">
        <f t="shared" si="7"/>
        <v>1</v>
      </c>
      <c r="D479" s="6" t="s">
        <v>1653</v>
      </c>
      <c r="E479" s="3" t="s">
        <v>1654</v>
      </c>
      <c r="F479" s="4" t="s">
        <v>58</v>
      </c>
      <c r="G479" s="3" t="s">
        <v>1348</v>
      </c>
      <c r="H479" s="3"/>
      <c r="I479" s="3" t="s">
        <v>105</v>
      </c>
      <c r="J479" s="3" t="s">
        <v>61</v>
      </c>
      <c r="K479" s="3"/>
      <c r="L479" s="3"/>
      <c r="M479" s="3"/>
      <c r="N479" s="3"/>
      <c r="O479" s="3"/>
      <c r="P479" s="3"/>
      <c r="Q479" s="3"/>
      <c r="R479" s="3"/>
      <c r="S479" s="3"/>
    </row>
    <row r="480" spans="1:19" ht="51.75" x14ac:dyDescent="0.25">
      <c r="A480" s="1">
        <v>40846</v>
      </c>
      <c r="B480" s="1">
        <v>40846</v>
      </c>
      <c r="C480" s="2">
        <f t="shared" si="7"/>
        <v>1</v>
      </c>
      <c r="D480" s="6" t="s">
        <v>1655</v>
      </c>
      <c r="E480" s="3" t="s">
        <v>1656</v>
      </c>
      <c r="F480" s="4" t="s">
        <v>58</v>
      </c>
      <c r="G480" s="3" t="s">
        <v>1127</v>
      </c>
      <c r="H480" s="3" t="s">
        <v>1128</v>
      </c>
      <c r="I480" s="3" t="s">
        <v>303</v>
      </c>
      <c r="J480" s="3" t="s">
        <v>61</v>
      </c>
      <c r="K480" s="3"/>
      <c r="L480" s="3"/>
      <c r="M480" s="3"/>
      <c r="N480" s="3"/>
      <c r="O480" s="3"/>
      <c r="P480" s="3"/>
      <c r="Q480" s="3"/>
      <c r="R480" s="3"/>
      <c r="S480" s="3"/>
    </row>
    <row r="481" spans="1:19" ht="51.75" x14ac:dyDescent="0.25">
      <c r="A481" s="1">
        <v>40847</v>
      </c>
      <c r="B481" s="1">
        <v>40847</v>
      </c>
      <c r="C481" s="2">
        <f t="shared" si="7"/>
        <v>1</v>
      </c>
      <c r="D481" s="6" t="s">
        <v>1657</v>
      </c>
      <c r="E481" s="3" t="s">
        <v>1658</v>
      </c>
      <c r="F481" s="4" t="s">
        <v>58</v>
      </c>
      <c r="G481" s="3" t="s">
        <v>1659</v>
      </c>
      <c r="H481" s="3" t="s">
        <v>1660</v>
      </c>
      <c r="I481" s="3" t="s">
        <v>888</v>
      </c>
      <c r="J481" s="3" t="s">
        <v>61</v>
      </c>
      <c r="K481" s="3"/>
      <c r="L481" s="3"/>
      <c r="M481" s="3"/>
      <c r="N481" s="3"/>
      <c r="O481" s="3"/>
      <c r="P481" s="3"/>
      <c r="Q481" s="3"/>
      <c r="R481" s="3"/>
      <c r="S481" s="3"/>
    </row>
    <row r="482" spans="1:19" ht="39" x14ac:dyDescent="0.25">
      <c r="A482" s="1">
        <v>40847</v>
      </c>
      <c r="B482" s="1">
        <v>40847</v>
      </c>
      <c r="C482" s="2">
        <f t="shared" si="7"/>
        <v>1</v>
      </c>
      <c r="D482" s="6" t="s">
        <v>1663</v>
      </c>
      <c r="E482" s="3" t="s">
        <v>1664</v>
      </c>
      <c r="F482" s="4" t="s">
        <v>58</v>
      </c>
      <c r="G482" s="3" t="s">
        <v>1665</v>
      </c>
      <c r="H482" s="3" t="s">
        <v>215</v>
      </c>
      <c r="I482" s="3" t="s">
        <v>105</v>
      </c>
      <c r="J482" s="3" t="s">
        <v>61</v>
      </c>
      <c r="K482" s="3"/>
      <c r="L482" s="3"/>
      <c r="M482" s="3"/>
      <c r="N482" s="3"/>
      <c r="O482" s="3"/>
      <c r="P482" s="3"/>
      <c r="Q482" s="3"/>
      <c r="R482" s="3"/>
      <c r="S482" s="3"/>
    </row>
    <row r="483" spans="1:19" ht="51.75" x14ac:dyDescent="0.25">
      <c r="A483" s="1">
        <v>40847</v>
      </c>
      <c r="B483" s="1">
        <v>40847</v>
      </c>
      <c r="C483" s="2">
        <f t="shared" si="7"/>
        <v>1</v>
      </c>
      <c r="D483" s="6" t="s">
        <v>1666</v>
      </c>
      <c r="E483" s="3" t="s">
        <v>1667</v>
      </c>
      <c r="F483" s="4" t="s">
        <v>58</v>
      </c>
      <c r="G483" s="3" t="s">
        <v>1668</v>
      </c>
      <c r="H483" s="3"/>
      <c r="I483" s="3" t="s">
        <v>865</v>
      </c>
      <c r="J483" s="3" t="s">
        <v>61</v>
      </c>
      <c r="K483" s="3"/>
      <c r="L483" s="3"/>
      <c r="M483" s="3"/>
      <c r="N483" s="3"/>
      <c r="O483" s="3"/>
      <c r="P483" s="3"/>
      <c r="Q483" s="3"/>
      <c r="R483" s="3"/>
      <c r="S483" s="3"/>
    </row>
    <row r="484" spans="1:19" ht="26.25" x14ac:dyDescent="0.25">
      <c r="A484" s="1">
        <v>40852</v>
      </c>
      <c r="B484" s="1">
        <v>40852</v>
      </c>
      <c r="C484" s="2">
        <f t="shared" si="7"/>
        <v>1</v>
      </c>
      <c r="D484" s="6" t="s">
        <v>1719</v>
      </c>
      <c r="E484" s="3" t="s">
        <v>1720</v>
      </c>
      <c r="F484" s="4" t="s">
        <v>58</v>
      </c>
      <c r="G484" s="3" t="s">
        <v>1721</v>
      </c>
      <c r="H484" s="3" t="s">
        <v>1722</v>
      </c>
      <c r="I484" s="3" t="s">
        <v>60</v>
      </c>
      <c r="J484" s="3" t="s">
        <v>61</v>
      </c>
      <c r="K484" s="3"/>
      <c r="L484" s="3"/>
      <c r="M484" s="3"/>
      <c r="N484" s="3"/>
      <c r="O484" s="3"/>
      <c r="P484" s="3"/>
      <c r="Q484" s="3"/>
      <c r="R484" s="3"/>
      <c r="S484" s="3"/>
    </row>
    <row r="485" spans="1:19" ht="64.5" x14ac:dyDescent="0.25">
      <c r="A485" s="1">
        <v>40852</v>
      </c>
      <c r="B485" s="1">
        <v>40852</v>
      </c>
      <c r="C485" s="2">
        <f t="shared" si="7"/>
        <v>1</v>
      </c>
      <c r="D485" s="6" t="s">
        <v>1724</v>
      </c>
      <c r="E485" s="3" t="s">
        <v>1725</v>
      </c>
      <c r="F485" s="4" t="s">
        <v>58</v>
      </c>
      <c r="G485" s="3" t="s">
        <v>1726</v>
      </c>
      <c r="H485" s="3"/>
      <c r="I485" s="3" t="s">
        <v>1727</v>
      </c>
      <c r="J485" s="3" t="s">
        <v>61</v>
      </c>
      <c r="K485" s="3"/>
      <c r="L485" s="3"/>
      <c r="M485" s="3"/>
      <c r="N485" s="3"/>
      <c r="O485" s="3"/>
      <c r="P485" s="3"/>
      <c r="Q485" s="3"/>
      <c r="R485" s="3"/>
      <c r="S485" s="3"/>
    </row>
    <row r="486" spans="1:19" ht="39" x14ac:dyDescent="0.25">
      <c r="A486" s="1">
        <v>40852</v>
      </c>
      <c r="B486" s="1">
        <v>40852</v>
      </c>
      <c r="C486" s="2">
        <f t="shared" si="7"/>
        <v>1</v>
      </c>
      <c r="D486" s="6" t="s">
        <v>1732</v>
      </c>
      <c r="E486" s="3" t="s">
        <v>1733</v>
      </c>
      <c r="F486" s="4" t="s">
        <v>58</v>
      </c>
      <c r="G486" s="3" t="s">
        <v>1734</v>
      </c>
      <c r="H486" s="3" t="s">
        <v>1735</v>
      </c>
      <c r="I486" s="3" t="s">
        <v>1006</v>
      </c>
      <c r="J486" s="3" t="s">
        <v>61</v>
      </c>
      <c r="K486" s="3"/>
      <c r="L486" s="3"/>
      <c r="M486" s="3"/>
      <c r="N486" s="3"/>
      <c r="O486" s="3"/>
      <c r="P486" s="3"/>
      <c r="Q486" s="3"/>
      <c r="R486" s="3"/>
      <c r="S486" s="3"/>
    </row>
    <row r="487" spans="1:19" ht="26.25" x14ac:dyDescent="0.25">
      <c r="A487" s="1">
        <v>40852</v>
      </c>
      <c r="B487" s="1">
        <v>40852</v>
      </c>
      <c r="C487" s="2">
        <f t="shared" si="7"/>
        <v>1</v>
      </c>
      <c r="D487" s="6" t="s">
        <v>1739</v>
      </c>
      <c r="E487" s="3" t="s">
        <v>1740</v>
      </c>
      <c r="F487" s="4" t="s">
        <v>58</v>
      </c>
      <c r="G487" s="3" t="s">
        <v>1741</v>
      </c>
      <c r="H487" s="3"/>
      <c r="I487" s="3" t="s">
        <v>1366</v>
      </c>
      <c r="J487" s="3" t="s">
        <v>61</v>
      </c>
      <c r="K487" s="3"/>
      <c r="L487" s="3"/>
      <c r="M487" s="3"/>
      <c r="N487" s="3"/>
      <c r="O487" s="3"/>
      <c r="P487" s="3"/>
      <c r="Q487" s="3"/>
      <c r="R487" s="3"/>
      <c r="S487" s="3"/>
    </row>
    <row r="488" spans="1:19" ht="26.25" x14ac:dyDescent="0.25">
      <c r="A488" s="1">
        <v>40852</v>
      </c>
      <c r="B488" s="1">
        <v>40852</v>
      </c>
      <c r="C488" s="2">
        <f t="shared" si="7"/>
        <v>1</v>
      </c>
      <c r="D488" s="6" t="s">
        <v>1694</v>
      </c>
      <c r="E488" s="3" t="s">
        <v>1744</v>
      </c>
      <c r="F488" s="4" t="s">
        <v>58</v>
      </c>
      <c r="G488" s="3" t="s">
        <v>1745</v>
      </c>
      <c r="H488" s="3" t="s">
        <v>1746</v>
      </c>
      <c r="I488" s="3" t="s">
        <v>261</v>
      </c>
      <c r="J488" s="3" t="s">
        <v>61</v>
      </c>
      <c r="K488" s="3"/>
      <c r="L488" s="3"/>
      <c r="M488" s="3"/>
      <c r="N488" s="3"/>
      <c r="O488" s="3"/>
      <c r="P488" s="3"/>
      <c r="Q488" s="3"/>
      <c r="R488" s="3"/>
      <c r="S488" s="3"/>
    </row>
    <row r="489" spans="1:19" ht="51.75" x14ac:dyDescent="0.25">
      <c r="A489" s="1">
        <v>40852</v>
      </c>
      <c r="B489" s="1">
        <v>40852</v>
      </c>
      <c r="C489" s="2">
        <f t="shared" si="7"/>
        <v>1</v>
      </c>
      <c r="D489" s="6" t="s">
        <v>1749</v>
      </c>
      <c r="E489" s="3" t="s">
        <v>1750</v>
      </c>
      <c r="F489" s="4" t="s">
        <v>58</v>
      </c>
      <c r="G489" s="3" t="s">
        <v>1751</v>
      </c>
      <c r="H489" s="3" t="s">
        <v>215</v>
      </c>
      <c r="I489" s="3" t="s">
        <v>963</v>
      </c>
      <c r="J489" s="3" t="s">
        <v>61</v>
      </c>
      <c r="K489" s="3"/>
      <c r="L489" s="3"/>
      <c r="M489" s="3"/>
      <c r="N489" s="3"/>
      <c r="O489" s="3"/>
      <c r="P489" s="3"/>
      <c r="Q489" s="3"/>
      <c r="R489" s="3"/>
      <c r="S489" s="3"/>
    </row>
    <row r="490" spans="1:19" ht="39" x14ac:dyDescent="0.25">
      <c r="A490" s="1">
        <v>40852</v>
      </c>
      <c r="B490" s="1">
        <v>40852</v>
      </c>
      <c r="C490" s="2">
        <f t="shared" si="7"/>
        <v>1</v>
      </c>
      <c r="D490" s="6" t="s">
        <v>1757</v>
      </c>
      <c r="E490" s="3" t="s">
        <v>1758</v>
      </c>
      <c r="F490" s="4" t="s">
        <v>58</v>
      </c>
      <c r="G490" s="3" t="s">
        <v>1200</v>
      </c>
      <c r="H490" s="3" t="s">
        <v>1550</v>
      </c>
      <c r="I490" s="3" t="s">
        <v>455</v>
      </c>
      <c r="J490" s="3" t="s">
        <v>61</v>
      </c>
      <c r="K490" s="3"/>
      <c r="L490" s="3"/>
      <c r="M490" s="3"/>
      <c r="N490" s="3"/>
      <c r="O490" s="3"/>
      <c r="P490" s="3"/>
      <c r="Q490" s="3"/>
      <c r="R490" s="3"/>
      <c r="S490" s="3"/>
    </row>
    <row r="491" spans="1:19" ht="26.25" x14ac:dyDescent="0.25">
      <c r="A491" s="1">
        <v>40852</v>
      </c>
      <c r="B491" s="1">
        <v>40852</v>
      </c>
      <c r="C491" s="2">
        <f t="shared" si="7"/>
        <v>1</v>
      </c>
      <c r="D491" s="6" t="s">
        <v>1759</v>
      </c>
      <c r="E491" s="3" t="s">
        <v>1760</v>
      </c>
      <c r="F491" s="4" t="s">
        <v>58</v>
      </c>
      <c r="G491" s="3" t="s">
        <v>1761</v>
      </c>
      <c r="H491" s="3"/>
      <c r="I491" s="3" t="s">
        <v>1366</v>
      </c>
      <c r="J491" s="3" t="s">
        <v>61</v>
      </c>
      <c r="K491" s="3"/>
      <c r="L491" s="3"/>
      <c r="M491" s="3"/>
      <c r="N491" s="3"/>
      <c r="O491" s="3"/>
      <c r="P491" s="3"/>
      <c r="Q491" s="3"/>
      <c r="R491" s="3"/>
      <c r="S491" s="3"/>
    </row>
    <row r="492" spans="1:19" ht="26.25" x14ac:dyDescent="0.25">
      <c r="A492" s="1">
        <v>40852</v>
      </c>
      <c r="B492" s="1">
        <v>40852</v>
      </c>
      <c r="C492" s="2">
        <f t="shared" si="7"/>
        <v>1</v>
      </c>
      <c r="D492" s="6" t="s">
        <v>1764</v>
      </c>
      <c r="E492" s="3" t="s">
        <v>1765</v>
      </c>
      <c r="F492" s="4" t="s">
        <v>58</v>
      </c>
      <c r="G492" s="3" t="s">
        <v>1766</v>
      </c>
      <c r="H492" s="3" t="s">
        <v>1767</v>
      </c>
      <c r="I492" s="3" t="s">
        <v>1768</v>
      </c>
      <c r="J492" s="3" t="s">
        <v>61</v>
      </c>
      <c r="K492" s="3"/>
      <c r="L492" s="3"/>
      <c r="M492" s="3"/>
      <c r="N492" s="3"/>
      <c r="O492" s="3"/>
      <c r="P492" s="3"/>
      <c r="Q492" s="3"/>
      <c r="R492" s="3"/>
      <c r="S492" s="3"/>
    </row>
    <row r="493" spans="1:19" ht="64.5" x14ac:dyDescent="0.25">
      <c r="A493" s="1">
        <v>40852</v>
      </c>
      <c r="B493" s="1">
        <v>40852</v>
      </c>
      <c r="C493" s="2">
        <f t="shared" si="7"/>
        <v>1</v>
      </c>
      <c r="D493" s="6" t="s">
        <v>1770</v>
      </c>
      <c r="E493" s="3" t="s">
        <v>1771</v>
      </c>
      <c r="F493" s="4" t="s">
        <v>58</v>
      </c>
      <c r="G493" s="3" t="s">
        <v>1772</v>
      </c>
      <c r="H493" s="3" t="s">
        <v>1773</v>
      </c>
      <c r="I493" s="3" t="s">
        <v>1774</v>
      </c>
      <c r="J493" s="3" t="s">
        <v>61</v>
      </c>
      <c r="K493" s="3"/>
      <c r="L493" s="3"/>
      <c r="M493" s="3"/>
      <c r="N493" s="3"/>
      <c r="O493" s="3"/>
      <c r="P493" s="3"/>
      <c r="Q493" s="3"/>
      <c r="R493" s="3"/>
      <c r="S493" s="3"/>
    </row>
    <row r="494" spans="1:19" ht="39" x14ac:dyDescent="0.25">
      <c r="A494" s="1">
        <v>40852</v>
      </c>
      <c r="B494" s="1">
        <v>40852</v>
      </c>
      <c r="C494" s="2">
        <f t="shared" si="7"/>
        <v>1</v>
      </c>
      <c r="D494" s="6" t="s">
        <v>1778</v>
      </c>
      <c r="E494" s="3" t="s">
        <v>1778</v>
      </c>
      <c r="F494" s="4" t="s">
        <v>58</v>
      </c>
      <c r="G494" s="3" t="s">
        <v>1009</v>
      </c>
      <c r="H494" s="3" t="s">
        <v>1010</v>
      </c>
      <c r="I494" s="3" t="s">
        <v>60</v>
      </c>
      <c r="J494" s="3" t="s">
        <v>61</v>
      </c>
      <c r="K494" s="3"/>
      <c r="L494" s="3"/>
      <c r="M494" s="3"/>
      <c r="N494" s="3"/>
      <c r="O494" s="3"/>
      <c r="P494" s="3"/>
      <c r="Q494" s="3"/>
      <c r="R494" s="3"/>
      <c r="S494" s="3"/>
    </row>
    <row r="495" spans="1:19" ht="26.25" x14ac:dyDescent="0.25">
      <c r="A495" s="1">
        <v>40852</v>
      </c>
      <c r="B495" s="1">
        <v>40852</v>
      </c>
      <c r="C495" s="2">
        <f t="shared" si="7"/>
        <v>1</v>
      </c>
      <c r="D495" s="6" t="s">
        <v>1779</v>
      </c>
      <c r="E495" s="3" t="s">
        <v>847</v>
      </c>
      <c r="F495" s="4" t="s">
        <v>58</v>
      </c>
      <c r="G495" s="3" t="s">
        <v>1499</v>
      </c>
      <c r="H495" s="3"/>
      <c r="I495" s="3" t="s">
        <v>71</v>
      </c>
      <c r="J495" s="3" t="s">
        <v>61</v>
      </c>
      <c r="K495" s="3"/>
      <c r="L495" s="3"/>
      <c r="M495" s="3"/>
      <c r="N495" s="3"/>
      <c r="O495" s="3"/>
      <c r="P495" s="3"/>
      <c r="Q495" s="3"/>
      <c r="R495" s="3"/>
      <c r="S495" s="3"/>
    </row>
    <row r="496" spans="1:19" ht="26.25" x14ac:dyDescent="0.25">
      <c r="A496" s="1">
        <v>40852</v>
      </c>
      <c r="B496" s="1">
        <v>40852</v>
      </c>
      <c r="C496" s="2">
        <f t="shared" si="7"/>
        <v>1</v>
      </c>
      <c r="D496" s="6" t="s">
        <v>1780</v>
      </c>
      <c r="E496" s="3" t="s">
        <v>1781</v>
      </c>
      <c r="F496" s="4" t="s">
        <v>58</v>
      </c>
      <c r="G496" s="3" t="s">
        <v>1782</v>
      </c>
      <c r="H496" s="3" t="s">
        <v>1783</v>
      </c>
      <c r="I496" s="3" t="s">
        <v>1784</v>
      </c>
      <c r="J496" s="3" t="s">
        <v>61</v>
      </c>
      <c r="K496" s="3"/>
      <c r="L496" s="3"/>
      <c r="M496" s="3"/>
      <c r="N496" s="3"/>
      <c r="O496" s="3"/>
      <c r="P496" s="3"/>
      <c r="Q496" s="3"/>
      <c r="R496" s="3"/>
      <c r="S496" s="3"/>
    </row>
    <row r="497" spans="1:19" ht="39" x14ac:dyDescent="0.25">
      <c r="A497" s="1">
        <v>40853</v>
      </c>
      <c r="B497" s="1">
        <v>40853</v>
      </c>
      <c r="C497" s="2">
        <f t="shared" si="7"/>
        <v>1</v>
      </c>
      <c r="D497" s="6" t="s">
        <v>1826</v>
      </c>
      <c r="E497" s="3" t="s">
        <v>1827</v>
      </c>
      <c r="F497" s="4" t="s">
        <v>58</v>
      </c>
      <c r="G497" s="3" t="s">
        <v>837</v>
      </c>
      <c r="H497" s="3"/>
      <c r="I497" s="3" t="s">
        <v>60</v>
      </c>
      <c r="J497" s="3" t="s">
        <v>61</v>
      </c>
      <c r="K497" s="3"/>
      <c r="L497" s="3"/>
      <c r="M497" s="3"/>
      <c r="N497" s="3"/>
      <c r="O497" s="3"/>
      <c r="P497" s="3"/>
      <c r="Q497" s="3"/>
      <c r="R497" s="3"/>
      <c r="S497" s="3"/>
    </row>
    <row r="498" spans="1:19" ht="39" x14ac:dyDescent="0.25">
      <c r="A498" s="1">
        <v>40853</v>
      </c>
      <c r="B498" s="1">
        <v>40853</v>
      </c>
      <c r="C498" s="2">
        <f t="shared" si="7"/>
        <v>1</v>
      </c>
      <c r="D498" s="6" t="s">
        <v>1828</v>
      </c>
      <c r="E498" s="3" t="s">
        <v>1829</v>
      </c>
      <c r="F498" s="4" t="s">
        <v>58</v>
      </c>
      <c r="G498" s="3" t="s">
        <v>1830</v>
      </c>
      <c r="H498" s="3" t="s">
        <v>1831</v>
      </c>
      <c r="I498" s="3" t="s">
        <v>1832</v>
      </c>
      <c r="J498" s="3" t="s">
        <v>61</v>
      </c>
      <c r="K498" s="3"/>
      <c r="L498" s="3"/>
      <c r="M498" s="3"/>
      <c r="N498" s="3"/>
      <c r="O498" s="3"/>
      <c r="P498" s="3"/>
      <c r="Q498" s="3"/>
      <c r="R498" s="3"/>
      <c r="S498" s="3"/>
    </row>
    <row r="499" spans="1:19" ht="39" x14ac:dyDescent="0.25">
      <c r="A499" s="1">
        <v>40853</v>
      </c>
      <c r="B499" s="1">
        <v>40853</v>
      </c>
      <c r="C499" s="2">
        <f t="shared" si="7"/>
        <v>1</v>
      </c>
      <c r="D499" s="6" t="s">
        <v>1836</v>
      </c>
      <c r="E499" s="3" t="s">
        <v>1837</v>
      </c>
      <c r="F499" s="4" t="s">
        <v>58</v>
      </c>
      <c r="G499" s="3" t="s">
        <v>1327</v>
      </c>
      <c r="H499" s="3"/>
      <c r="I499" s="3" t="s">
        <v>60</v>
      </c>
      <c r="J499" s="3" t="s">
        <v>61</v>
      </c>
      <c r="K499" s="3"/>
      <c r="L499" s="3"/>
      <c r="M499" s="3"/>
      <c r="N499" s="3"/>
      <c r="O499" s="3"/>
      <c r="P499" s="3"/>
      <c r="Q499" s="3"/>
      <c r="R499" s="3"/>
      <c r="S499" s="3"/>
    </row>
    <row r="500" spans="1:19" ht="26.25" x14ac:dyDescent="0.25">
      <c r="A500" s="1">
        <v>40853</v>
      </c>
      <c r="B500" s="1">
        <v>40853</v>
      </c>
      <c r="C500" s="2">
        <f t="shared" si="7"/>
        <v>1</v>
      </c>
      <c r="D500" s="6" t="s">
        <v>1838</v>
      </c>
      <c r="E500" s="3" t="s">
        <v>1839</v>
      </c>
      <c r="F500" s="4" t="s">
        <v>58</v>
      </c>
      <c r="G500" s="3" t="s">
        <v>619</v>
      </c>
      <c r="H500" s="3"/>
      <c r="I500" s="3" t="s">
        <v>303</v>
      </c>
      <c r="J500" s="3" t="s">
        <v>61</v>
      </c>
      <c r="K500" s="3"/>
      <c r="L500" s="3"/>
      <c r="M500" s="3"/>
      <c r="N500" s="3"/>
      <c r="O500" s="3"/>
      <c r="P500" s="3"/>
      <c r="Q500" s="3"/>
      <c r="R500" s="3"/>
      <c r="S500" s="3"/>
    </row>
    <row r="501" spans="1:19" ht="26.25" x14ac:dyDescent="0.25">
      <c r="A501" s="1">
        <v>40855</v>
      </c>
      <c r="B501" s="1">
        <v>40855</v>
      </c>
      <c r="C501" s="2">
        <f t="shared" si="7"/>
        <v>1</v>
      </c>
      <c r="D501" s="6" t="s">
        <v>1841</v>
      </c>
      <c r="E501" s="3" t="s">
        <v>1842</v>
      </c>
      <c r="F501" s="4" t="s">
        <v>58</v>
      </c>
      <c r="G501" s="3" t="s">
        <v>781</v>
      </c>
      <c r="H501" s="3" t="s">
        <v>782</v>
      </c>
      <c r="I501" s="3" t="s">
        <v>236</v>
      </c>
      <c r="J501" s="3" t="s">
        <v>61</v>
      </c>
      <c r="K501" s="3"/>
      <c r="L501" s="3"/>
      <c r="M501" s="3"/>
      <c r="N501" s="3"/>
      <c r="O501" s="3"/>
      <c r="P501" s="3"/>
      <c r="Q501" s="3"/>
      <c r="R501" s="3"/>
      <c r="S501" s="3"/>
    </row>
    <row r="502" spans="1:19" ht="64.5" x14ac:dyDescent="0.25">
      <c r="A502" s="1">
        <v>40855</v>
      </c>
      <c r="B502" s="1">
        <v>40855</v>
      </c>
      <c r="C502" s="2">
        <f t="shared" si="7"/>
        <v>1</v>
      </c>
      <c r="D502" s="6" t="s">
        <v>1843</v>
      </c>
      <c r="E502" s="3" t="s">
        <v>759</v>
      </c>
      <c r="F502" s="4" t="s">
        <v>58</v>
      </c>
      <c r="G502" s="3" t="s">
        <v>1844</v>
      </c>
      <c r="H502" s="3" t="s">
        <v>1845</v>
      </c>
      <c r="I502" s="3" t="s">
        <v>34</v>
      </c>
      <c r="J502" s="3" t="s">
        <v>61</v>
      </c>
      <c r="K502" s="3"/>
      <c r="L502" s="3"/>
      <c r="M502" s="3"/>
      <c r="N502" s="3"/>
      <c r="O502" s="3"/>
      <c r="P502" s="3"/>
      <c r="Q502" s="3"/>
      <c r="R502" s="3"/>
      <c r="S502" s="3"/>
    </row>
    <row r="503" spans="1:19" ht="51.75" x14ac:dyDescent="0.25">
      <c r="A503" s="1">
        <v>40855</v>
      </c>
      <c r="B503" s="1">
        <v>40855</v>
      </c>
      <c r="C503" s="2">
        <f t="shared" si="7"/>
        <v>1</v>
      </c>
      <c r="D503" s="6" t="s">
        <v>1849</v>
      </c>
      <c r="E503" s="3" t="s">
        <v>1850</v>
      </c>
      <c r="F503" s="4" t="s">
        <v>58</v>
      </c>
      <c r="G503" s="3" t="s">
        <v>837</v>
      </c>
      <c r="H503" s="3"/>
      <c r="I503" s="3" t="s">
        <v>60</v>
      </c>
      <c r="J503" s="3" t="s">
        <v>61</v>
      </c>
      <c r="K503" s="3"/>
      <c r="L503" s="3"/>
      <c r="M503" s="3"/>
      <c r="N503" s="3"/>
      <c r="O503" s="3"/>
      <c r="P503" s="3"/>
      <c r="Q503" s="3"/>
      <c r="R503" s="3"/>
      <c r="S503" s="3"/>
    </row>
    <row r="504" spans="1:19" ht="26.25" x14ac:dyDescent="0.25">
      <c r="A504" s="1">
        <v>40856</v>
      </c>
      <c r="B504" s="1">
        <v>40856</v>
      </c>
      <c r="C504" s="2">
        <f t="shared" si="7"/>
        <v>1</v>
      </c>
      <c r="D504" s="6" t="s">
        <v>1851</v>
      </c>
      <c r="E504" s="3" t="s">
        <v>1852</v>
      </c>
      <c r="F504" s="4" t="s">
        <v>58</v>
      </c>
      <c r="G504" s="3" t="s">
        <v>1348</v>
      </c>
      <c r="H504" s="3"/>
      <c r="I504" s="3" t="s">
        <v>105</v>
      </c>
      <c r="J504" s="3" t="s">
        <v>61</v>
      </c>
      <c r="K504" s="3"/>
      <c r="L504" s="3"/>
      <c r="M504" s="3"/>
      <c r="N504" s="3"/>
      <c r="O504" s="3"/>
      <c r="P504" s="3"/>
      <c r="Q504" s="3"/>
      <c r="R504" s="3"/>
      <c r="S504" s="3"/>
    </row>
    <row r="505" spans="1:19" ht="39" x14ac:dyDescent="0.25">
      <c r="A505" s="1">
        <v>40856</v>
      </c>
      <c r="B505" s="1">
        <v>40856</v>
      </c>
      <c r="C505" s="2">
        <f t="shared" si="7"/>
        <v>1</v>
      </c>
      <c r="D505" s="6" t="s">
        <v>1853</v>
      </c>
      <c r="E505" s="3" t="s">
        <v>847</v>
      </c>
      <c r="F505" s="4" t="s">
        <v>58</v>
      </c>
      <c r="G505" s="3" t="s">
        <v>1499</v>
      </c>
      <c r="H505" s="3"/>
      <c r="I505" s="3" t="s">
        <v>71</v>
      </c>
      <c r="J505" s="3" t="s">
        <v>61</v>
      </c>
      <c r="K505" s="3"/>
      <c r="L505" s="3"/>
      <c r="M505" s="3"/>
      <c r="N505" s="3"/>
      <c r="O505" s="3"/>
      <c r="P505" s="3"/>
      <c r="Q505" s="3"/>
      <c r="R505" s="3"/>
      <c r="S505" s="3"/>
    </row>
    <row r="506" spans="1:19" ht="39" x14ac:dyDescent="0.25">
      <c r="A506" s="1">
        <v>40857</v>
      </c>
      <c r="B506" s="1">
        <v>40857</v>
      </c>
      <c r="C506" s="2">
        <f t="shared" si="7"/>
        <v>1</v>
      </c>
      <c r="D506" s="6" t="s">
        <v>1854</v>
      </c>
      <c r="E506" s="3" t="s">
        <v>1855</v>
      </c>
      <c r="F506" s="4" t="s">
        <v>58</v>
      </c>
      <c r="G506" s="3" t="s">
        <v>1856</v>
      </c>
      <c r="H506" s="3" t="s">
        <v>1857</v>
      </c>
      <c r="I506" s="3" t="s">
        <v>85</v>
      </c>
      <c r="J506" s="3" t="s">
        <v>61</v>
      </c>
      <c r="K506" s="3"/>
      <c r="L506" s="3"/>
      <c r="M506" s="3"/>
      <c r="N506" s="3"/>
      <c r="O506" s="3"/>
      <c r="P506" s="3"/>
      <c r="Q506" s="3"/>
      <c r="R506" s="3"/>
      <c r="S506" s="3"/>
    </row>
    <row r="507" spans="1:19" ht="51.75" x14ac:dyDescent="0.25">
      <c r="A507" s="1">
        <v>40857</v>
      </c>
      <c r="B507" s="1">
        <v>40857</v>
      </c>
      <c r="C507" s="2">
        <f t="shared" si="7"/>
        <v>1</v>
      </c>
      <c r="D507" s="6" t="s">
        <v>1862</v>
      </c>
      <c r="E507" s="3" t="s">
        <v>1863</v>
      </c>
      <c r="F507" s="4" t="s">
        <v>58</v>
      </c>
      <c r="G507" s="3" t="s">
        <v>1864</v>
      </c>
      <c r="H507" s="3" t="s">
        <v>1865</v>
      </c>
      <c r="I507" s="3" t="s">
        <v>1866</v>
      </c>
      <c r="J507" s="3" t="s">
        <v>61</v>
      </c>
      <c r="K507" s="3"/>
      <c r="L507" s="3"/>
      <c r="M507" s="3"/>
      <c r="N507" s="3"/>
      <c r="O507" s="3"/>
      <c r="P507" s="3"/>
      <c r="Q507" s="3"/>
      <c r="R507" s="3"/>
      <c r="S507" s="3"/>
    </row>
    <row r="508" spans="1:19" ht="26.25" x14ac:dyDescent="0.25">
      <c r="A508" s="1">
        <v>40858</v>
      </c>
      <c r="B508" s="1">
        <v>40858</v>
      </c>
      <c r="C508" s="2">
        <f t="shared" si="7"/>
        <v>1</v>
      </c>
      <c r="D508" s="6" t="s">
        <v>1838</v>
      </c>
      <c r="E508" s="3" t="s">
        <v>1872</v>
      </c>
      <c r="F508" s="4" t="s">
        <v>58</v>
      </c>
      <c r="G508" s="3" t="s">
        <v>619</v>
      </c>
      <c r="H508" s="3"/>
      <c r="I508" s="3" t="s">
        <v>303</v>
      </c>
      <c r="J508" s="3" t="s">
        <v>61</v>
      </c>
      <c r="K508" s="3"/>
      <c r="L508" s="3"/>
      <c r="M508" s="3"/>
      <c r="N508" s="3"/>
      <c r="O508" s="3"/>
      <c r="P508" s="3"/>
      <c r="Q508" s="3"/>
      <c r="R508" s="3"/>
      <c r="S508" s="3"/>
    </row>
    <row r="509" spans="1:19" ht="39" x14ac:dyDescent="0.25">
      <c r="A509" s="1">
        <v>40858</v>
      </c>
      <c r="B509" s="1">
        <v>40858</v>
      </c>
      <c r="C509" s="2">
        <f t="shared" si="7"/>
        <v>1</v>
      </c>
      <c r="D509" s="6" t="s">
        <v>1873</v>
      </c>
      <c r="E509" s="3" t="s">
        <v>1874</v>
      </c>
      <c r="F509" s="4" t="s">
        <v>58</v>
      </c>
      <c r="G509" s="3" t="s">
        <v>1200</v>
      </c>
      <c r="H509" s="3" t="s">
        <v>1550</v>
      </c>
      <c r="I509" s="3" t="s">
        <v>455</v>
      </c>
      <c r="J509" s="3" t="s">
        <v>61</v>
      </c>
      <c r="K509" s="3"/>
      <c r="L509" s="3"/>
      <c r="M509" s="3"/>
      <c r="N509" s="3"/>
      <c r="O509" s="3"/>
      <c r="P509" s="3"/>
      <c r="Q509" s="3"/>
      <c r="R509" s="3"/>
      <c r="S509" s="3"/>
    </row>
    <row r="510" spans="1:19" ht="51.75" x14ac:dyDescent="0.25">
      <c r="A510" s="1">
        <v>40858</v>
      </c>
      <c r="B510" s="1">
        <v>40858</v>
      </c>
      <c r="C510" s="2">
        <f t="shared" si="7"/>
        <v>1</v>
      </c>
      <c r="D510" s="6" t="s">
        <v>1875</v>
      </c>
      <c r="E510" s="3" t="s">
        <v>1876</v>
      </c>
      <c r="F510" s="4" t="s">
        <v>58</v>
      </c>
      <c r="G510" s="3" t="s">
        <v>1877</v>
      </c>
      <c r="H510" s="3"/>
      <c r="I510" s="3" t="s">
        <v>1878</v>
      </c>
      <c r="J510" s="3" t="s">
        <v>61</v>
      </c>
      <c r="K510" s="3"/>
      <c r="L510" s="3"/>
      <c r="M510" s="3"/>
      <c r="N510" s="3"/>
      <c r="O510" s="3"/>
      <c r="P510" s="3"/>
      <c r="Q510" s="3"/>
      <c r="R510" s="3"/>
      <c r="S510" s="3"/>
    </row>
    <row r="511" spans="1:19" ht="26.25" x14ac:dyDescent="0.25">
      <c r="A511" s="1">
        <v>40858</v>
      </c>
      <c r="B511" s="1">
        <v>40858</v>
      </c>
      <c r="C511" s="2">
        <f t="shared" si="7"/>
        <v>1</v>
      </c>
      <c r="D511" s="6" t="s">
        <v>1862</v>
      </c>
      <c r="E511" s="3" t="s">
        <v>1880</v>
      </c>
      <c r="F511" s="4" t="s">
        <v>58</v>
      </c>
      <c r="G511" s="3" t="s">
        <v>1881</v>
      </c>
      <c r="H511" s="3" t="s">
        <v>1882</v>
      </c>
      <c r="I511" s="3" t="s">
        <v>60</v>
      </c>
      <c r="J511" s="3" t="s">
        <v>61</v>
      </c>
      <c r="K511" s="3"/>
      <c r="L511" s="3"/>
      <c r="M511" s="3"/>
      <c r="N511" s="3"/>
      <c r="O511" s="3"/>
      <c r="P511" s="3"/>
      <c r="Q511" s="3"/>
      <c r="R511" s="3"/>
      <c r="S511" s="3"/>
    </row>
    <row r="512" spans="1:19" ht="39" x14ac:dyDescent="0.25">
      <c r="A512" s="1">
        <v>40858</v>
      </c>
      <c r="B512" s="1">
        <v>40858</v>
      </c>
      <c r="C512" s="2">
        <f t="shared" si="7"/>
        <v>1</v>
      </c>
      <c r="D512" s="6" t="s">
        <v>1885</v>
      </c>
      <c r="E512" s="3" t="s">
        <v>1886</v>
      </c>
      <c r="F512" s="4" t="s">
        <v>58</v>
      </c>
      <c r="G512" s="3" t="s">
        <v>1887</v>
      </c>
      <c r="H512" s="3"/>
      <c r="I512" s="3" t="s">
        <v>993</v>
      </c>
      <c r="J512" s="3" t="s">
        <v>61</v>
      </c>
      <c r="K512" s="3"/>
      <c r="L512" s="3"/>
      <c r="M512" s="3"/>
      <c r="N512" s="3"/>
      <c r="O512" s="3"/>
      <c r="P512" s="3"/>
      <c r="Q512" s="3"/>
      <c r="R512" s="3"/>
      <c r="S512" s="3"/>
    </row>
    <row r="513" spans="1:19" ht="39" x14ac:dyDescent="0.25">
      <c r="A513" s="1">
        <v>40858</v>
      </c>
      <c r="B513" s="1">
        <v>40858</v>
      </c>
      <c r="C513" s="2">
        <f t="shared" ref="C513:C576" si="8">(B513-A513)+1</f>
        <v>1</v>
      </c>
      <c r="D513" s="6" t="s">
        <v>1885</v>
      </c>
      <c r="E513" s="3" t="s">
        <v>1892</v>
      </c>
      <c r="F513" s="4" t="s">
        <v>58</v>
      </c>
      <c r="G513" s="3" t="s">
        <v>1893</v>
      </c>
      <c r="H513" s="3"/>
      <c r="I513" s="3" t="s">
        <v>993</v>
      </c>
      <c r="J513" s="3" t="s">
        <v>61</v>
      </c>
      <c r="K513" s="3"/>
      <c r="L513" s="3"/>
      <c r="M513" s="3"/>
      <c r="N513" s="3"/>
      <c r="O513" s="3"/>
      <c r="P513" s="3"/>
      <c r="Q513" s="3"/>
      <c r="R513" s="3"/>
      <c r="S513" s="3"/>
    </row>
    <row r="514" spans="1:19" ht="51.75" x14ac:dyDescent="0.25">
      <c r="A514" s="1">
        <v>40858</v>
      </c>
      <c r="B514" s="1">
        <v>40858</v>
      </c>
      <c r="C514" s="2">
        <f t="shared" si="8"/>
        <v>1</v>
      </c>
      <c r="D514" s="6" t="s">
        <v>1894</v>
      </c>
      <c r="E514" s="3" t="s">
        <v>1895</v>
      </c>
      <c r="F514" s="4" t="s">
        <v>58</v>
      </c>
      <c r="G514" s="3" t="s">
        <v>777</v>
      </c>
      <c r="H514" s="3" t="s">
        <v>321</v>
      </c>
      <c r="I514" s="3" t="s">
        <v>227</v>
      </c>
      <c r="J514" s="3" t="s">
        <v>61</v>
      </c>
      <c r="K514" s="3"/>
      <c r="L514" s="3"/>
      <c r="M514" s="3"/>
      <c r="N514" s="3"/>
      <c r="O514" s="3"/>
      <c r="P514" s="3"/>
      <c r="Q514" s="3"/>
      <c r="R514" s="3"/>
      <c r="S514" s="3"/>
    </row>
    <row r="515" spans="1:19" ht="26.25" x14ac:dyDescent="0.25">
      <c r="A515" s="1">
        <v>40858</v>
      </c>
      <c r="B515" s="1">
        <v>40858</v>
      </c>
      <c r="C515" s="2">
        <f t="shared" si="8"/>
        <v>1</v>
      </c>
      <c r="D515" s="6" t="s">
        <v>1896</v>
      </c>
      <c r="E515" s="3" t="s">
        <v>1897</v>
      </c>
      <c r="F515" s="4" t="s">
        <v>58</v>
      </c>
      <c r="G515" s="3" t="s">
        <v>1898</v>
      </c>
      <c r="H515" s="3" t="s">
        <v>1899</v>
      </c>
      <c r="I515" s="3" t="s">
        <v>1606</v>
      </c>
      <c r="J515" s="3" t="s">
        <v>61</v>
      </c>
      <c r="K515" s="3"/>
      <c r="L515" s="3"/>
      <c r="M515" s="3"/>
      <c r="N515" s="3"/>
      <c r="O515" s="3"/>
      <c r="P515" s="3"/>
      <c r="Q515" s="3"/>
      <c r="R515" s="3"/>
      <c r="S515" s="3"/>
    </row>
    <row r="516" spans="1:19" ht="39" x14ac:dyDescent="0.25">
      <c r="A516" s="1">
        <v>40859</v>
      </c>
      <c r="B516" s="1">
        <v>40859</v>
      </c>
      <c r="C516" s="2">
        <f t="shared" si="8"/>
        <v>1</v>
      </c>
      <c r="D516" s="6" t="s">
        <v>1920</v>
      </c>
      <c r="E516" s="3" t="s">
        <v>1921</v>
      </c>
      <c r="F516" s="4" t="s">
        <v>58</v>
      </c>
      <c r="G516" s="3" t="s">
        <v>1922</v>
      </c>
      <c r="H516" s="3" t="s">
        <v>1923</v>
      </c>
      <c r="I516" s="3" t="s">
        <v>303</v>
      </c>
      <c r="J516" s="3" t="s">
        <v>61</v>
      </c>
      <c r="K516" s="3"/>
      <c r="L516" s="3"/>
      <c r="M516" s="3"/>
      <c r="N516" s="3"/>
      <c r="O516" s="3"/>
      <c r="P516" s="3"/>
      <c r="Q516" s="3"/>
      <c r="R516" s="3"/>
      <c r="S516" s="3"/>
    </row>
    <row r="517" spans="1:19" ht="39" x14ac:dyDescent="0.25">
      <c r="A517" s="1">
        <v>40859</v>
      </c>
      <c r="B517" s="1">
        <v>40859</v>
      </c>
      <c r="C517" s="2">
        <f t="shared" si="8"/>
        <v>1</v>
      </c>
      <c r="D517" s="6" t="s">
        <v>1749</v>
      </c>
      <c r="E517" s="3" t="s">
        <v>1927</v>
      </c>
      <c r="F517" s="4" t="s">
        <v>58</v>
      </c>
      <c r="G517" s="3" t="s">
        <v>1928</v>
      </c>
      <c r="H517" s="3" t="s">
        <v>1929</v>
      </c>
      <c r="I517" s="3" t="s">
        <v>1866</v>
      </c>
      <c r="J517" s="3" t="s">
        <v>61</v>
      </c>
      <c r="K517" s="3"/>
      <c r="L517" s="3"/>
      <c r="M517" s="3"/>
      <c r="N517" s="3"/>
      <c r="O517" s="3"/>
      <c r="P517" s="3"/>
      <c r="Q517" s="3"/>
      <c r="R517" s="3"/>
      <c r="S517" s="3"/>
    </row>
    <row r="518" spans="1:19" ht="39" x14ac:dyDescent="0.25">
      <c r="A518" s="1">
        <v>40859</v>
      </c>
      <c r="B518" s="1">
        <v>40859</v>
      </c>
      <c r="C518" s="2">
        <f t="shared" si="8"/>
        <v>1</v>
      </c>
      <c r="D518" s="6" t="s">
        <v>1932</v>
      </c>
      <c r="E518" s="3" t="s">
        <v>1933</v>
      </c>
      <c r="F518" s="4" t="s">
        <v>58</v>
      </c>
      <c r="G518" s="3" t="s">
        <v>1163</v>
      </c>
      <c r="H518" s="3" t="s">
        <v>1164</v>
      </c>
      <c r="I518" s="3" t="s">
        <v>71</v>
      </c>
      <c r="J518" s="3" t="s">
        <v>61</v>
      </c>
      <c r="K518" s="3"/>
      <c r="L518" s="3"/>
      <c r="M518" s="3"/>
      <c r="N518" s="3"/>
      <c r="O518" s="3"/>
      <c r="P518" s="3"/>
      <c r="Q518" s="3"/>
      <c r="R518" s="3"/>
      <c r="S518" s="3"/>
    </row>
    <row r="519" spans="1:19" ht="26.25" x14ac:dyDescent="0.25">
      <c r="A519" s="1">
        <v>40859</v>
      </c>
      <c r="B519" s="1">
        <v>40859</v>
      </c>
      <c r="C519" s="2">
        <f t="shared" si="8"/>
        <v>1</v>
      </c>
      <c r="D519" s="6" t="s">
        <v>1934</v>
      </c>
      <c r="E519" s="3" t="s">
        <v>1935</v>
      </c>
      <c r="F519" s="4" t="s">
        <v>58</v>
      </c>
      <c r="G519" s="3" t="s">
        <v>1936</v>
      </c>
      <c r="H519" s="3" t="s">
        <v>1937</v>
      </c>
      <c r="I519" s="3" t="s">
        <v>1938</v>
      </c>
      <c r="J519" s="3" t="s">
        <v>61</v>
      </c>
      <c r="K519" s="3"/>
      <c r="L519" s="3"/>
      <c r="M519" s="3"/>
      <c r="N519" s="3"/>
      <c r="O519" s="3"/>
      <c r="P519" s="3"/>
      <c r="Q519" s="3"/>
      <c r="R519" s="3"/>
      <c r="S519" s="3"/>
    </row>
    <row r="520" spans="1:19" ht="26.25" x14ac:dyDescent="0.25">
      <c r="A520" s="1">
        <v>40859</v>
      </c>
      <c r="B520" s="1">
        <v>40859</v>
      </c>
      <c r="C520" s="2">
        <f t="shared" si="8"/>
        <v>1</v>
      </c>
      <c r="D520" s="6" t="s">
        <v>1941</v>
      </c>
      <c r="E520" s="3" t="s">
        <v>1942</v>
      </c>
      <c r="F520" s="4" t="s">
        <v>58</v>
      </c>
      <c r="G520" s="3" t="s">
        <v>1943</v>
      </c>
      <c r="H520" s="3"/>
      <c r="I520" s="3" t="s">
        <v>77</v>
      </c>
      <c r="J520" s="3" t="s">
        <v>61</v>
      </c>
      <c r="K520" s="3"/>
      <c r="L520" s="3"/>
      <c r="M520" s="3"/>
      <c r="N520" s="3"/>
      <c r="O520" s="3"/>
      <c r="P520" s="3"/>
      <c r="Q520" s="3"/>
      <c r="R520" s="3"/>
      <c r="S520" s="3"/>
    </row>
    <row r="521" spans="1:19" ht="26.25" x14ac:dyDescent="0.25">
      <c r="A521" s="1">
        <v>40859</v>
      </c>
      <c r="B521" s="1">
        <v>40859</v>
      </c>
      <c r="C521" s="2">
        <f t="shared" si="8"/>
        <v>1</v>
      </c>
      <c r="D521" s="6" t="s">
        <v>1945</v>
      </c>
      <c r="E521" s="3" t="s">
        <v>997</v>
      </c>
      <c r="F521" s="4" t="s">
        <v>58</v>
      </c>
      <c r="G521" s="3" t="s">
        <v>619</v>
      </c>
      <c r="H521" s="3" t="s">
        <v>620</v>
      </c>
      <c r="I521" s="3" t="s">
        <v>303</v>
      </c>
      <c r="J521" s="3" t="s">
        <v>61</v>
      </c>
      <c r="K521" s="3"/>
      <c r="L521" s="3"/>
      <c r="M521" s="3"/>
      <c r="N521" s="3"/>
      <c r="O521" s="3"/>
      <c r="P521" s="3"/>
      <c r="Q521" s="3"/>
      <c r="R521" s="3"/>
      <c r="S521" s="3"/>
    </row>
    <row r="522" spans="1:19" ht="39" x14ac:dyDescent="0.25">
      <c r="A522" s="1">
        <v>40859</v>
      </c>
      <c r="B522" s="1">
        <v>40859</v>
      </c>
      <c r="C522" s="2">
        <f t="shared" si="8"/>
        <v>1</v>
      </c>
      <c r="D522" s="6" t="s">
        <v>1946</v>
      </c>
      <c r="E522" s="3" t="s">
        <v>1287</v>
      </c>
      <c r="F522" s="4" t="s">
        <v>58</v>
      </c>
      <c r="G522" s="3" t="s">
        <v>1288</v>
      </c>
      <c r="H522" s="3" t="s">
        <v>1289</v>
      </c>
      <c r="I522" s="3" t="s">
        <v>105</v>
      </c>
      <c r="J522" s="3" t="s">
        <v>61</v>
      </c>
      <c r="K522" s="3"/>
      <c r="L522" s="3"/>
      <c r="M522" s="3"/>
      <c r="N522" s="3"/>
      <c r="O522" s="3"/>
      <c r="P522" s="3"/>
      <c r="Q522" s="3"/>
      <c r="R522" s="3"/>
      <c r="S522" s="3"/>
    </row>
    <row r="523" spans="1:19" ht="26.25" x14ac:dyDescent="0.25">
      <c r="A523" s="1">
        <v>40859</v>
      </c>
      <c r="B523" s="1">
        <v>40859</v>
      </c>
      <c r="C523" s="2">
        <f t="shared" si="8"/>
        <v>1</v>
      </c>
      <c r="D523" s="6" t="s">
        <v>1947</v>
      </c>
      <c r="E523" s="3" t="s">
        <v>1948</v>
      </c>
      <c r="F523" s="4" t="s">
        <v>58</v>
      </c>
      <c r="G523" s="3" t="s">
        <v>1949</v>
      </c>
      <c r="H523" s="3" t="s">
        <v>1950</v>
      </c>
      <c r="I523" s="3" t="s">
        <v>1951</v>
      </c>
      <c r="J523" s="3" t="s">
        <v>61</v>
      </c>
      <c r="K523" s="3"/>
      <c r="L523" s="3"/>
      <c r="M523" s="3"/>
      <c r="N523" s="3"/>
      <c r="O523" s="3"/>
      <c r="P523" s="3"/>
      <c r="Q523" s="3"/>
      <c r="R523" s="3"/>
      <c r="S523" s="3"/>
    </row>
    <row r="524" spans="1:19" ht="39" x14ac:dyDescent="0.25">
      <c r="A524" s="1">
        <v>40859</v>
      </c>
      <c r="B524" s="1">
        <v>40859</v>
      </c>
      <c r="C524" s="2">
        <f t="shared" si="8"/>
        <v>1</v>
      </c>
      <c r="D524" s="6" t="s">
        <v>1954</v>
      </c>
      <c r="E524" s="3" t="s">
        <v>1955</v>
      </c>
      <c r="F524" s="4" t="s">
        <v>58</v>
      </c>
      <c r="G524" s="3" t="s">
        <v>900</v>
      </c>
      <c r="H524" s="3" t="s">
        <v>901</v>
      </c>
      <c r="I524" s="3" t="s">
        <v>245</v>
      </c>
      <c r="J524" s="3" t="s">
        <v>61</v>
      </c>
      <c r="K524" s="3"/>
      <c r="L524" s="3"/>
      <c r="M524" s="3"/>
      <c r="N524" s="3"/>
      <c r="O524" s="3"/>
      <c r="P524" s="3"/>
      <c r="Q524" s="3"/>
      <c r="R524" s="3"/>
      <c r="S524" s="3"/>
    </row>
    <row r="525" spans="1:19" ht="26.25" x14ac:dyDescent="0.25">
      <c r="A525" s="1">
        <v>40860</v>
      </c>
      <c r="B525" s="1">
        <v>40860</v>
      </c>
      <c r="C525" s="2">
        <f t="shared" si="8"/>
        <v>1</v>
      </c>
      <c r="D525" s="6" t="s">
        <v>1959</v>
      </c>
      <c r="E525" s="3" t="s">
        <v>1959</v>
      </c>
      <c r="F525" s="4" t="s">
        <v>58</v>
      </c>
      <c r="G525" s="3" t="s">
        <v>1327</v>
      </c>
      <c r="H525" s="3"/>
      <c r="I525" s="3" t="s">
        <v>60</v>
      </c>
      <c r="J525" s="3" t="s">
        <v>61</v>
      </c>
      <c r="K525" s="3"/>
      <c r="L525" s="3"/>
      <c r="M525" s="3"/>
      <c r="N525" s="3"/>
      <c r="O525" s="3"/>
      <c r="P525" s="3"/>
      <c r="Q525" s="3"/>
      <c r="R525" s="3"/>
      <c r="S525" s="3"/>
    </row>
    <row r="526" spans="1:19" ht="26.25" x14ac:dyDescent="0.25">
      <c r="A526" s="1">
        <v>40860</v>
      </c>
      <c r="B526" s="1">
        <v>40860</v>
      </c>
      <c r="C526" s="2">
        <f t="shared" si="8"/>
        <v>1</v>
      </c>
      <c r="D526" s="6" t="s">
        <v>1960</v>
      </c>
      <c r="E526" s="3" t="s">
        <v>1961</v>
      </c>
      <c r="F526" s="4" t="s">
        <v>58</v>
      </c>
      <c r="G526" s="3" t="s">
        <v>1962</v>
      </c>
      <c r="H526" s="3"/>
      <c r="I526" s="3" t="s">
        <v>1963</v>
      </c>
      <c r="J526" s="3" t="s">
        <v>61</v>
      </c>
      <c r="K526" s="3"/>
      <c r="L526" s="3"/>
      <c r="M526" s="3"/>
      <c r="N526" s="3"/>
      <c r="O526" s="3"/>
      <c r="P526" s="3"/>
      <c r="Q526" s="3"/>
      <c r="R526" s="3"/>
      <c r="S526" s="3"/>
    </row>
    <row r="527" spans="1:19" ht="26.25" x14ac:dyDescent="0.25">
      <c r="A527" s="1">
        <v>40861</v>
      </c>
      <c r="B527" s="1">
        <v>40861</v>
      </c>
      <c r="C527" s="2">
        <f t="shared" si="8"/>
        <v>1</v>
      </c>
      <c r="D527" s="6" t="s">
        <v>1838</v>
      </c>
      <c r="E527" s="3" t="s">
        <v>1969</v>
      </c>
      <c r="F527" s="4" t="s">
        <v>58</v>
      </c>
      <c r="G527" s="3" t="s">
        <v>619</v>
      </c>
      <c r="H527" s="3"/>
      <c r="I527" s="3" t="s">
        <v>303</v>
      </c>
      <c r="J527" s="3" t="s">
        <v>61</v>
      </c>
      <c r="K527" s="3"/>
      <c r="L527" s="3"/>
      <c r="M527" s="3"/>
      <c r="N527" s="3"/>
      <c r="O527" s="3"/>
      <c r="P527" s="3"/>
      <c r="Q527" s="3"/>
      <c r="R527" s="3"/>
      <c r="S527" s="3"/>
    </row>
    <row r="528" spans="1:19" ht="51.75" x14ac:dyDescent="0.25">
      <c r="A528" s="1">
        <v>40861</v>
      </c>
      <c r="B528" s="1">
        <v>40861</v>
      </c>
      <c r="C528" s="2">
        <f t="shared" si="8"/>
        <v>1</v>
      </c>
      <c r="D528" s="6" t="s">
        <v>1970</v>
      </c>
      <c r="E528" s="3" t="s">
        <v>759</v>
      </c>
      <c r="F528" s="4" t="s">
        <v>58</v>
      </c>
      <c r="G528" s="3" t="s">
        <v>760</v>
      </c>
      <c r="H528" s="3" t="s">
        <v>761</v>
      </c>
      <c r="I528" s="3" t="s">
        <v>448</v>
      </c>
      <c r="J528" s="3" t="s">
        <v>61</v>
      </c>
      <c r="K528" s="3"/>
      <c r="L528" s="3"/>
      <c r="M528" s="3"/>
      <c r="N528" s="3"/>
      <c r="O528" s="3"/>
      <c r="P528" s="3"/>
      <c r="Q528" s="3"/>
      <c r="R528" s="3"/>
      <c r="S528" s="3"/>
    </row>
    <row r="529" spans="1:19" ht="51.75" x14ac:dyDescent="0.25">
      <c r="A529" s="1">
        <v>40861</v>
      </c>
      <c r="B529" s="1">
        <v>40861</v>
      </c>
      <c r="C529" s="2">
        <f t="shared" si="8"/>
        <v>1</v>
      </c>
      <c r="D529" s="6" t="s">
        <v>1971</v>
      </c>
      <c r="E529" s="3" t="s">
        <v>759</v>
      </c>
      <c r="F529" s="4" t="s">
        <v>58</v>
      </c>
      <c r="G529" s="3" t="s">
        <v>1972</v>
      </c>
      <c r="H529" s="3" t="s">
        <v>1092</v>
      </c>
      <c r="I529" s="3" t="s">
        <v>963</v>
      </c>
      <c r="J529" s="3" t="s">
        <v>61</v>
      </c>
      <c r="K529" s="3"/>
      <c r="L529" s="3"/>
      <c r="M529" s="3"/>
      <c r="N529" s="3"/>
      <c r="O529" s="3"/>
      <c r="P529" s="3"/>
      <c r="Q529" s="3"/>
      <c r="R529" s="3"/>
      <c r="S529" s="3"/>
    </row>
    <row r="530" spans="1:19" ht="26.25" x14ac:dyDescent="0.25">
      <c r="A530" s="1">
        <v>40865</v>
      </c>
      <c r="B530" s="1">
        <v>40865</v>
      </c>
      <c r="C530" s="2">
        <f t="shared" si="8"/>
        <v>1</v>
      </c>
      <c r="D530" s="6" t="s">
        <v>1978</v>
      </c>
      <c r="E530" s="3" t="s">
        <v>1979</v>
      </c>
      <c r="F530" s="4" t="s">
        <v>58</v>
      </c>
      <c r="G530" s="3" t="s">
        <v>1642</v>
      </c>
      <c r="H530" s="3"/>
      <c r="I530" s="3" t="s">
        <v>165</v>
      </c>
      <c r="J530" s="3" t="s">
        <v>61</v>
      </c>
      <c r="K530" s="3"/>
      <c r="L530" s="3"/>
      <c r="M530" s="3"/>
      <c r="N530" s="3"/>
      <c r="O530" s="3"/>
      <c r="P530" s="3"/>
      <c r="Q530" s="3"/>
      <c r="R530" s="3"/>
      <c r="S530" s="3"/>
    </row>
    <row r="531" spans="1:19" ht="26.25" x14ac:dyDescent="0.25">
      <c r="A531" s="1">
        <v>40866</v>
      </c>
      <c r="B531" s="1">
        <v>40866</v>
      </c>
      <c r="C531" s="2">
        <f t="shared" si="8"/>
        <v>1</v>
      </c>
      <c r="D531" s="6" t="s">
        <v>1987</v>
      </c>
      <c r="E531" s="3" t="s">
        <v>1988</v>
      </c>
      <c r="F531" s="4" t="s">
        <v>58</v>
      </c>
      <c r="G531" s="3" t="s">
        <v>1989</v>
      </c>
      <c r="H531" s="3"/>
      <c r="I531" s="3" t="s">
        <v>85</v>
      </c>
      <c r="J531" s="3" t="s">
        <v>61</v>
      </c>
      <c r="K531" s="3"/>
      <c r="L531" s="3"/>
      <c r="M531" s="3"/>
      <c r="N531" s="3"/>
      <c r="O531" s="3"/>
      <c r="P531" s="3"/>
      <c r="Q531" s="3"/>
      <c r="R531" s="3"/>
      <c r="S531" s="3"/>
    </row>
    <row r="532" spans="1:19" ht="26.25" x14ac:dyDescent="0.25">
      <c r="A532" s="1">
        <v>40866</v>
      </c>
      <c r="B532" s="1">
        <v>40866</v>
      </c>
      <c r="C532" s="2">
        <f t="shared" si="8"/>
        <v>1</v>
      </c>
      <c r="D532" s="6" t="s">
        <v>1991</v>
      </c>
      <c r="E532" s="3" t="s">
        <v>1992</v>
      </c>
      <c r="F532" s="4" t="s">
        <v>58</v>
      </c>
      <c r="G532" s="3" t="s">
        <v>1993</v>
      </c>
      <c r="H532" s="3" t="s">
        <v>1994</v>
      </c>
      <c r="I532" s="3" t="s">
        <v>245</v>
      </c>
      <c r="J532" s="3" t="s">
        <v>61</v>
      </c>
      <c r="K532" s="3"/>
      <c r="L532" s="3"/>
      <c r="M532" s="3"/>
      <c r="N532" s="3"/>
      <c r="O532" s="3"/>
      <c r="P532" s="3"/>
      <c r="Q532" s="3"/>
      <c r="R532" s="3"/>
      <c r="S532" s="3"/>
    </row>
    <row r="533" spans="1:19" ht="51.75" x14ac:dyDescent="0.25">
      <c r="A533" s="1">
        <v>40866</v>
      </c>
      <c r="B533" s="1">
        <v>40866</v>
      </c>
      <c r="C533" s="2">
        <f t="shared" si="8"/>
        <v>1</v>
      </c>
      <c r="D533" s="6" t="s">
        <v>1996</v>
      </c>
      <c r="E533" s="3" t="s">
        <v>1997</v>
      </c>
      <c r="F533" s="4" t="s">
        <v>58</v>
      </c>
      <c r="G533" s="3" t="s">
        <v>1145</v>
      </c>
      <c r="H533" s="3" t="s">
        <v>1998</v>
      </c>
      <c r="I533" s="3" t="s">
        <v>865</v>
      </c>
      <c r="J533" s="3" t="s">
        <v>61</v>
      </c>
      <c r="K533" s="3"/>
      <c r="L533" s="3"/>
      <c r="M533" s="3"/>
      <c r="N533" s="3"/>
      <c r="O533" s="3"/>
      <c r="P533" s="3"/>
      <c r="Q533" s="3"/>
      <c r="R533" s="3"/>
      <c r="S533" s="3"/>
    </row>
    <row r="534" spans="1:19" ht="26.25" x14ac:dyDescent="0.25">
      <c r="A534" s="1">
        <v>40866</v>
      </c>
      <c r="B534" s="1">
        <v>40866</v>
      </c>
      <c r="C534" s="2">
        <f t="shared" si="8"/>
        <v>1</v>
      </c>
      <c r="D534" s="6" t="s">
        <v>1942</v>
      </c>
      <c r="E534" s="3" t="s">
        <v>2003</v>
      </c>
      <c r="F534" s="4" t="s">
        <v>58</v>
      </c>
      <c r="G534" s="3" t="s">
        <v>2004</v>
      </c>
      <c r="H534" s="3" t="s">
        <v>235</v>
      </c>
      <c r="I534" s="3" t="s">
        <v>236</v>
      </c>
      <c r="J534" s="3" t="s">
        <v>61</v>
      </c>
      <c r="K534" s="3"/>
      <c r="L534" s="3"/>
      <c r="M534" s="3"/>
      <c r="N534" s="3"/>
      <c r="O534" s="3"/>
      <c r="P534" s="3"/>
      <c r="Q534" s="3"/>
      <c r="R534" s="3"/>
      <c r="S534" s="3"/>
    </row>
    <row r="535" spans="1:19" ht="26.25" x14ac:dyDescent="0.25">
      <c r="A535" s="1">
        <v>40866</v>
      </c>
      <c r="B535" s="1">
        <v>40866</v>
      </c>
      <c r="C535" s="2">
        <f t="shared" si="8"/>
        <v>1</v>
      </c>
      <c r="D535" s="6" t="s">
        <v>2005</v>
      </c>
      <c r="E535" s="3" t="s">
        <v>2006</v>
      </c>
      <c r="F535" s="4" t="s">
        <v>58</v>
      </c>
      <c r="G535" s="3" t="s">
        <v>1348</v>
      </c>
      <c r="H535" s="3" t="s">
        <v>2007</v>
      </c>
      <c r="I535" s="3" t="s">
        <v>105</v>
      </c>
      <c r="J535" s="3" t="s">
        <v>61</v>
      </c>
      <c r="K535" s="3"/>
      <c r="L535" s="3"/>
      <c r="M535" s="3"/>
      <c r="N535" s="3"/>
      <c r="O535" s="3"/>
      <c r="P535" s="3"/>
      <c r="Q535" s="3"/>
      <c r="R535" s="3"/>
      <c r="S535" s="3"/>
    </row>
    <row r="536" spans="1:19" ht="64.5" x14ac:dyDescent="0.25">
      <c r="A536" s="1">
        <v>40866</v>
      </c>
      <c r="B536" s="1">
        <v>40866</v>
      </c>
      <c r="C536" s="2">
        <f t="shared" si="8"/>
        <v>1</v>
      </c>
      <c r="D536" s="6" t="s">
        <v>2008</v>
      </c>
      <c r="E536" s="3" t="s">
        <v>759</v>
      </c>
      <c r="F536" s="4" t="s">
        <v>58</v>
      </c>
      <c r="G536" s="3" t="s">
        <v>2009</v>
      </c>
      <c r="H536" s="3" t="s">
        <v>2010</v>
      </c>
      <c r="I536" s="3" t="s">
        <v>806</v>
      </c>
      <c r="J536" s="3" t="s">
        <v>61</v>
      </c>
      <c r="K536" s="3"/>
      <c r="L536" s="3"/>
      <c r="M536" s="3"/>
      <c r="N536" s="3"/>
      <c r="O536" s="3"/>
      <c r="P536" s="3"/>
      <c r="Q536" s="3"/>
      <c r="R536" s="3"/>
      <c r="S536" s="3"/>
    </row>
    <row r="537" spans="1:19" ht="39" x14ac:dyDescent="0.25">
      <c r="A537" s="1">
        <v>40866</v>
      </c>
      <c r="B537" s="1">
        <v>40866</v>
      </c>
      <c r="C537" s="2">
        <f t="shared" si="8"/>
        <v>1</v>
      </c>
      <c r="D537" s="6" t="s">
        <v>2012</v>
      </c>
      <c r="E537" s="3" t="s">
        <v>2013</v>
      </c>
      <c r="F537" s="4" t="s">
        <v>58</v>
      </c>
      <c r="G537" s="3" t="s">
        <v>1790</v>
      </c>
      <c r="H537" s="3" t="s">
        <v>1791</v>
      </c>
      <c r="I537" s="3" t="s">
        <v>1021</v>
      </c>
      <c r="J537" s="3" t="s">
        <v>61</v>
      </c>
      <c r="K537" s="3"/>
      <c r="L537" s="3"/>
      <c r="M537" s="3"/>
      <c r="N537" s="3"/>
      <c r="O537" s="3"/>
      <c r="P537" s="3"/>
      <c r="Q537" s="3"/>
      <c r="R537" s="3"/>
      <c r="S537" s="3"/>
    </row>
    <row r="538" spans="1:19" ht="39" x14ac:dyDescent="0.25">
      <c r="A538" s="1">
        <v>40866</v>
      </c>
      <c r="B538" s="1">
        <v>40866</v>
      </c>
      <c r="C538" s="2">
        <f t="shared" si="8"/>
        <v>1</v>
      </c>
      <c r="D538" s="6" t="s">
        <v>2014</v>
      </c>
      <c r="E538" s="3" t="s">
        <v>2015</v>
      </c>
      <c r="F538" s="4" t="s">
        <v>58</v>
      </c>
      <c r="G538" s="3" t="s">
        <v>2016</v>
      </c>
      <c r="H538" s="3" t="s">
        <v>2017</v>
      </c>
      <c r="I538" s="3" t="s">
        <v>2018</v>
      </c>
      <c r="J538" s="3" t="s">
        <v>61</v>
      </c>
      <c r="K538" s="3"/>
      <c r="L538" s="3"/>
      <c r="M538" s="3"/>
      <c r="N538" s="3"/>
      <c r="O538" s="3"/>
      <c r="P538" s="3"/>
      <c r="Q538" s="3"/>
      <c r="R538" s="3"/>
      <c r="S538" s="3"/>
    </row>
    <row r="539" spans="1:19" ht="26.25" x14ac:dyDescent="0.25">
      <c r="A539" s="1">
        <v>40866</v>
      </c>
      <c r="B539" s="1">
        <v>40866</v>
      </c>
      <c r="C539" s="2">
        <f t="shared" si="8"/>
        <v>1</v>
      </c>
      <c r="D539" s="6" t="s">
        <v>2023</v>
      </c>
      <c r="E539" s="3" t="s">
        <v>2024</v>
      </c>
      <c r="F539" s="4" t="s">
        <v>58</v>
      </c>
      <c r="G539" s="3" t="s">
        <v>2025</v>
      </c>
      <c r="H539" s="3" t="s">
        <v>2026</v>
      </c>
      <c r="I539" s="3" t="s">
        <v>245</v>
      </c>
      <c r="J539" s="3" t="s">
        <v>61</v>
      </c>
      <c r="K539" s="3"/>
      <c r="L539" s="3"/>
      <c r="M539" s="3"/>
      <c r="N539" s="3"/>
      <c r="O539" s="3"/>
      <c r="P539" s="3"/>
      <c r="Q539" s="3"/>
      <c r="R539" s="3"/>
      <c r="S539" s="3"/>
    </row>
    <row r="540" spans="1:19" ht="39" x14ac:dyDescent="0.25">
      <c r="A540" s="1">
        <v>40866</v>
      </c>
      <c r="B540" s="1">
        <v>40866</v>
      </c>
      <c r="C540" s="2">
        <f t="shared" si="8"/>
        <v>1</v>
      </c>
      <c r="D540" s="6" t="s">
        <v>2027</v>
      </c>
      <c r="E540" s="3" t="s">
        <v>2028</v>
      </c>
      <c r="F540" s="4" t="s">
        <v>58</v>
      </c>
      <c r="G540" s="3" t="s">
        <v>479</v>
      </c>
      <c r="H540" s="3" t="s">
        <v>480</v>
      </c>
      <c r="I540" s="3" t="s">
        <v>245</v>
      </c>
      <c r="J540" s="3" t="s">
        <v>61</v>
      </c>
      <c r="K540" s="3"/>
      <c r="L540" s="3"/>
      <c r="M540" s="3"/>
      <c r="N540" s="3"/>
      <c r="O540" s="3"/>
      <c r="P540" s="3"/>
      <c r="Q540" s="3"/>
      <c r="R540" s="3"/>
      <c r="S540" s="3"/>
    </row>
    <row r="541" spans="1:19" ht="51.75" x14ac:dyDescent="0.25">
      <c r="A541" s="1">
        <v>40866</v>
      </c>
      <c r="B541" s="1">
        <v>40866</v>
      </c>
      <c r="C541" s="2">
        <f t="shared" si="8"/>
        <v>1</v>
      </c>
      <c r="D541" s="6" t="s">
        <v>2031</v>
      </c>
      <c r="E541" s="3" t="s">
        <v>759</v>
      </c>
      <c r="F541" s="4" t="s">
        <v>58</v>
      </c>
      <c r="G541" s="3" t="s">
        <v>2032</v>
      </c>
      <c r="H541" s="3" t="s">
        <v>2033</v>
      </c>
      <c r="I541" s="3" t="s">
        <v>71</v>
      </c>
      <c r="J541" s="3" t="s">
        <v>61</v>
      </c>
      <c r="K541" s="3"/>
      <c r="L541" s="3"/>
      <c r="M541" s="3"/>
      <c r="N541" s="3"/>
      <c r="O541" s="3"/>
      <c r="P541" s="3"/>
      <c r="Q541" s="3"/>
      <c r="R541" s="3"/>
      <c r="S541" s="3"/>
    </row>
    <row r="542" spans="1:19" ht="26.25" x14ac:dyDescent="0.25">
      <c r="A542" s="1">
        <v>40866</v>
      </c>
      <c r="B542" s="1">
        <v>40866</v>
      </c>
      <c r="C542" s="2">
        <f t="shared" si="8"/>
        <v>1</v>
      </c>
      <c r="D542" s="6" t="s">
        <v>2036</v>
      </c>
      <c r="E542" s="3" t="s">
        <v>2015</v>
      </c>
      <c r="F542" s="4" t="s">
        <v>58</v>
      </c>
      <c r="G542" s="3" t="s">
        <v>2037</v>
      </c>
      <c r="H542" s="3"/>
      <c r="I542" s="3" t="s">
        <v>2018</v>
      </c>
      <c r="J542" s="3" t="s">
        <v>61</v>
      </c>
      <c r="K542" s="3"/>
      <c r="L542" s="3"/>
      <c r="M542" s="3"/>
      <c r="N542" s="3"/>
      <c r="O542" s="3"/>
      <c r="P542" s="3"/>
      <c r="Q542" s="3"/>
      <c r="R542" s="3"/>
      <c r="S542" s="3"/>
    </row>
    <row r="543" spans="1:19" ht="39" x14ac:dyDescent="0.25">
      <c r="A543" s="1">
        <v>40867</v>
      </c>
      <c r="B543" s="1">
        <v>40867</v>
      </c>
      <c r="C543" s="2">
        <f t="shared" si="8"/>
        <v>1</v>
      </c>
      <c r="D543" s="6" t="s">
        <v>2051</v>
      </c>
      <c r="E543" s="3" t="s">
        <v>2052</v>
      </c>
      <c r="F543" s="4" t="s">
        <v>58</v>
      </c>
      <c r="G543" s="3" t="s">
        <v>2053</v>
      </c>
      <c r="H543" s="3" t="s">
        <v>2054</v>
      </c>
      <c r="I543" s="3" t="s">
        <v>105</v>
      </c>
      <c r="J543" s="3" t="s">
        <v>61</v>
      </c>
      <c r="K543" s="3"/>
      <c r="L543" s="3"/>
      <c r="M543" s="3"/>
      <c r="N543" s="3"/>
      <c r="O543" s="3"/>
      <c r="P543" s="3"/>
      <c r="Q543" s="3"/>
      <c r="R543" s="3"/>
      <c r="S543" s="3"/>
    </row>
    <row r="544" spans="1:19" ht="39" x14ac:dyDescent="0.25">
      <c r="A544" s="1">
        <v>40867</v>
      </c>
      <c r="B544" s="1">
        <v>40867</v>
      </c>
      <c r="C544" s="2">
        <f t="shared" si="8"/>
        <v>1</v>
      </c>
      <c r="D544" s="6" t="s">
        <v>2056</v>
      </c>
      <c r="E544" s="3" t="s">
        <v>2057</v>
      </c>
      <c r="F544" s="4" t="s">
        <v>58</v>
      </c>
      <c r="G544" s="3" t="s">
        <v>1091</v>
      </c>
      <c r="H544" s="3"/>
      <c r="I544" s="3" t="s">
        <v>963</v>
      </c>
      <c r="J544" s="3" t="s">
        <v>61</v>
      </c>
      <c r="K544" s="3"/>
      <c r="L544" s="3"/>
      <c r="M544" s="3"/>
      <c r="N544" s="3"/>
      <c r="O544" s="3"/>
      <c r="P544" s="3"/>
      <c r="Q544" s="3"/>
      <c r="R544" s="3"/>
      <c r="S544" s="3"/>
    </row>
    <row r="545" spans="1:19" ht="26.25" x14ac:dyDescent="0.25">
      <c r="A545" s="1">
        <v>40867</v>
      </c>
      <c r="B545" s="1">
        <v>40867</v>
      </c>
      <c r="C545" s="2">
        <f t="shared" si="8"/>
        <v>1</v>
      </c>
      <c r="D545" s="6" t="s">
        <v>1343</v>
      </c>
      <c r="E545" s="3" t="s">
        <v>2058</v>
      </c>
      <c r="F545" s="4" t="s">
        <v>58</v>
      </c>
      <c r="G545" s="3" t="s">
        <v>537</v>
      </c>
      <c r="H545" s="3" t="s">
        <v>538</v>
      </c>
      <c r="I545" s="3" t="s">
        <v>227</v>
      </c>
      <c r="J545" s="3" t="s">
        <v>61</v>
      </c>
      <c r="K545" s="3"/>
      <c r="L545" s="3"/>
      <c r="M545" s="3"/>
      <c r="N545" s="3"/>
      <c r="O545" s="3"/>
      <c r="P545" s="3"/>
      <c r="Q545" s="3"/>
      <c r="R545" s="3"/>
      <c r="S545" s="3"/>
    </row>
    <row r="546" spans="1:19" ht="51.75" x14ac:dyDescent="0.25">
      <c r="A546" s="1">
        <v>40867</v>
      </c>
      <c r="B546" s="1">
        <v>40867</v>
      </c>
      <c r="C546" s="2">
        <f t="shared" si="8"/>
        <v>1</v>
      </c>
      <c r="D546" s="6" t="s">
        <v>2059</v>
      </c>
      <c r="E546" s="3" t="s">
        <v>2060</v>
      </c>
      <c r="F546" s="4" t="s">
        <v>58</v>
      </c>
      <c r="G546" s="3" t="s">
        <v>2061</v>
      </c>
      <c r="H546" s="3"/>
      <c r="I546" s="3" t="s">
        <v>85</v>
      </c>
      <c r="J546" s="3" t="s">
        <v>61</v>
      </c>
      <c r="K546" s="3"/>
      <c r="L546" s="3"/>
      <c r="M546" s="3"/>
      <c r="N546" s="3"/>
      <c r="O546" s="3"/>
      <c r="P546" s="3"/>
      <c r="Q546" s="3"/>
      <c r="R546" s="3"/>
      <c r="S546" s="3"/>
    </row>
    <row r="547" spans="1:19" ht="39" x14ac:dyDescent="0.25">
      <c r="A547" s="1">
        <v>40867</v>
      </c>
      <c r="B547" s="1">
        <v>40867</v>
      </c>
      <c r="C547" s="2">
        <f t="shared" si="8"/>
        <v>1</v>
      </c>
      <c r="D547" s="6" t="s">
        <v>2063</v>
      </c>
      <c r="E547" s="3" t="s">
        <v>2064</v>
      </c>
      <c r="F547" s="4" t="s">
        <v>58</v>
      </c>
      <c r="G547" s="3" t="s">
        <v>2065</v>
      </c>
      <c r="H547" s="3"/>
      <c r="I547" s="3" t="s">
        <v>2066</v>
      </c>
      <c r="J547" s="3" t="s">
        <v>61</v>
      </c>
      <c r="K547" s="3"/>
      <c r="L547" s="3"/>
      <c r="M547" s="3"/>
      <c r="N547" s="3"/>
      <c r="O547" s="3"/>
      <c r="P547" s="3"/>
      <c r="Q547" s="3"/>
      <c r="R547" s="3"/>
      <c r="S547" s="3"/>
    </row>
    <row r="548" spans="1:19" ht="39" x14ac:dyDescent="0.25">
      <c r="A548" s="1">
        <v>40869</v>
      </c>
      <c r="B548" s="1">
        <v>40869</v>
      </c>
      <c r="C548" s="2">
        <f t="shared" si="8"/>
        <v>1</v>
      </c>
      <c r="D548" s="6" t="s">
        <v>2074</v>
      </c>
      <c r="E548" s="3" t="s">
        <v>2075</v>
      </c>
      <c r="F548" s="4" t="s">
        <v>58</v>
      </c>
      <c r="G548" s="3" t="s">
        <v>2076</v>
      </c>
      <c r="H548" s="3"/>
      <c r="I548" s="3" t="s">
        <v>1768</v>
      </c>
      <c r="J548" s="3" t="s">
        <v>61</v>
      </c>
      <c r="K548" s="3"/>
      <c r="L548" s="3"/>
      <c r="M548" s="3"/>
      <c r="N548" s="3"/>
      <c r="O548" s="3"/>
      <c r="P548" s="3"/>
      <c r="Q548" s="3"/>
      <c r="R548" s="3"/>
      <c r="S548" s="3"/>
    </row>
    <row r="549" spans="1:19" ht="26.25" x14ac:dyDescent="0.25">
      <c r="A549" s="1">
        <v>40869</v>
      </c>
      <c r="B549" s="1">
        <v>40869</v>
      </c>
      <c r="C549" s="2">
        <f t="shared" si="8"/>
        <v>1</v>
      </c>
      <c r="D549" s="6" t="s">
        <v>1838</v>
      </c>
      <c r="E549" s="3" t="s">
        <v>618</v>
      </c>
      <c r="F549" s="4" t="s">
        <v>58</v>
      </c>
      <c r="G549" s="3" t="s">
        <v>619</v>
      </c>
      <c r="H549" s="3" t="s">
        <v>2080</v>
      </c>
      <c r="I549" s="3" t="s">
        <v>303</v>
      </c>
      <c r="J549" s="3" t="s">
        <v>61</v>
      </c>
      <c r="K549" s="3"/>
      <c r="L549" s="3"/>
      <c r="M549" s="3"/>
      <c r="N549" s="3"/>
      <c r="O549" s="3"/>
      <c r="P549" s="3"/>
      <c r="Q549" s="3"/>
      <c r="R549" s="3"/>
      <c r="S549" s="3"/>
    </row>
    <row r="550" spans="1:19" ht="39" x14ac:dyDescent="0.25">
      <c r="A550" s="1">
        <v>40872</v>
      </c>
      <c r="B550" s="1">
        <v>40872</v>
      </c>
      <c r="C550" s="2">
        <f t="shared" si="8"/>
        <v>1</v>
      </c>
      <c r="D550" s="6" t="s">
        <v>2086</v>
      </c>
      <c r="E550" s="3" t="s">
        <v>2087</v>
      </c>
      <c r="F550" s="4" t="s">
        <v>58</v>
      </c>
      <c r="G550" s="3" t="s">
        <v>1246</v>
      </c>
      <c r="H550" s="3" t="s">
        <v>215</v>
      </c>
      <c r="I550" s="3" t="s">
        <v>1247</v>
      </c>
      <c r="J550" s="3" t="s">
        <v>61</v>
      </c>
      <c r="K550" s="3"/>
      <c r="L550" s="3"/>
      <c r="M550" s="3"/>
      <c r="N550" s="3"/>
      <c r="O550" s="3"/>
      <c r="P550" s="3"/>
      <c r="Q550" s="3"/>
      <c r="R550" s="3"/>
      <c r="S550" s="3"/>
    </row>
    <row r="551" spans="1:19" ht="26.25" x14ac:dyDescent="0.25">
      <c r="A551" s="1">
        <v>40872</v>
      </c>
      <c r="B551" s="1">
        <v>40872</v>
      </c>
      <c r="C551" s="2">
        <f t="shared" si="8"/>
        <v>1</v>
      </c>
      <c r="D551" s="6" t="s">
        <v>2088</v>
      </c>
      <c r="E551" s="3" t="s">
        <v>2089</v>
      </c>
      <c r="F551" s="4" t="s">
        <v>58</v>
      </c>
      <c r="G551" s="3" t="s">
        <v>2090</v>
      </c>
      <c r="H551" s="3"/>
      <c r="I551" s="3" t="s">
        <v>105</v>
      </c>
      <c r="J551" s="3" t="s">
        <v>61</v>
      </c>
      <c r="K551" s="3"/>
      <c r="L551" s="3"/>
      <c r="M551" s="3"/>
      <c r="N551" s="3"/>
      <c r="O551" s="3"/>
      <c r="P551" s="3"/>
      <c r="Q551" s="3"/>
      <c r="R551" s="3"/>
      <c r="S551" s="3"/>
    </row>
    <row r="552" spans="1:19" ht="51.75" x14ac:dyDescent="0.25">
      <c r="A552" s="1">
        <v>40872</v>
      </c>
      <c r="B552" s="1">
        <v>40872</v>
      </c>
      <c r="C552" s="2">
        <f t="shared" si="8"/>
        <v>1</v>
      </c>
      <c r="D552" s="6" t="s">
        <v>2091</v>
      </c>
      <c r="E552" s="3" t="s">
        <v>2092</v>
      </c>
      <c r="F552" s="4" t="s">
        <v>58</v>
      </c>
      <c r="G552" s="3" t="s">
        <v>2093</v>
      </c>
      <c r="H552" s="3"/>
      <c r="I552" s="3" t="s">
        <v>2094</v>
      </c>
      <c r="J552" s="3" t="s">
        <v>61</v>
      </c>
      <c r="K552" s="3"/>
      <c r="L552" s="3"/>
      <c r="M552" s="3"/>
      <c r="N552" s="3"/>
      <c r="O552" s="3"/>
      <c r="P552" s="3"/>
      <c r="Q552" s="3"/>
      <c r="R552" s="3"/>
      <c r="S552" s="3"/>
    </row>
    <row r="553" spans="1:19" ht="26.25" x14ac:dyDescent="0.25">
      <c r="A553" s="1">
        <v>40872</v>
      </c>
      <c r="B553" s="1">
        <v>40872</v>
      </c>
      <c r="C553" s="2">
        <f t="shared" si="8"/>
        <v>1</v>
      </c>
      <c r="D553" s="6" t="s">
        <v>2099</v>
      </c>
      <c r="E553" s="3" t="s">
        <v>2100</v>
      </c>
      <c r="F553" s="4" t="s">
        <v>58</v>
      </c>
      <c r="G553" s="3" t="s">
        <v>837</v>
      </c>
      <c r="H553" s="3"/>
      <c r="I553" s="3" t="s">
        <v>60</v>
      </c>
      <c r="J553" s="3" t="s">
        <v>61</v>
      </c>
      <c r="K553" s="3"/>
      <c r="L553" s="3"/>
      <c r="M553" s="3"/>
      <c r="N553" s="3"/>
      <c r="O553" s="3"/>
      <c r="P553" s="3"/>
      <c r="Q553" s="3"/>
      <c r="R553" s="3"/>
      <c r="S553" s="3"/>
    </row>
    <row r="554" spans="1:19" ht="51.75" x14ac:dyDescent="0.25">
      <c r="A554" s="1">
        <v>40873</v>
      </c>
      <c r="B554" s="1">
        <v>40873</v>
      </c>
      <c r="C554" s="2">
        <f t="shared" si="8"/>
        <v>1</v>
      </c>
      <c r="D554" s="6" t="s">
        <v>2123</v>
      </c>
      <c r="E554" s="3" t="s">
        <v>2124</v>
      </c>
      <c r="F554" s="4" t="s">
        <v>58</v>
      </c>
      <c r="G554" s="3" t="s">
        <v>2125</v>
      </c>
      <c r="H554" s="3" t="s">
        <v>2126</v>
      </c>
      <c r="I554" s="3" t="s">
        <v>1225</v>
      </c>
      <c r="J554" s="3" t="s">
        <v>61</v>
      </c>
      <c r="K554" s="3"/>
      <c r="L554" s="3"/>
      <c r="M554" s="3"/>
      <c r="N554" s="3"/>
      <c r="O554" s="3"/>
      <c r="P554" s="3"/>
      <c r="Q554" s="3"/>
      <c r="R554" s="3"/>
      <c r="S554" s="3"/>
    </row>
    <row r="555" spans="1:19" ht="51.75" x14ac:dyDescent="0.25">
      <c r="A555" s="1">
        <v>40873</v>
      </c>
      <c r="B555" s="1">
        <v>40873</v>
      </c>
      <c r="C555" s="2">
        <f t="shared" si="8"/>
        <v>1</v>
      </c>
      <c r="D555" s="6" t="s">
        <v>2130</v>
      </c>
      <c r="E555" s="3" t="s">
        <v>2131</v>
      </c>
      <c r="F555" s="4" t="s">
        <v>58</v>
      </c>
      <c r="G555" s="3" t="s">
        <v>2132</v>
      </c>
      <c r="H555" s="3"/>
      <c r="I555" s="3" t="s">
        <v>1225</v>
      </c>
      <c r="J555" s="3" t="s">
        <v>61</v>
      </c>
      <c r="K555" s="3"/>
      <c r="L555" s="3"/>
      <c r="M555" s="3"/>
      <c r="N555" s="3"/>
      <c r="O555" s="3"/>
      <c r="P555" s="3"/>
      <c r="Q555" s="3"/>
      <c r="R555" s="3"/>
      <c r="S555" s="3"/>
    </row>
    <row r="556" spans="1:19" ht="39" x14ac:dyDescent="0.25">
      <c r="A556" s="1">
        <v>40873</v>
      </c>
      <c r="B556" s="1">
        <v>40873</v>
      </c>
      <c r="C556" s="2">
        <f t="shared" si="8"/>
        <v>1</v>
      </c>
      <c r="D556" s="6" t="s">
        <v>2135</v>
      </c>
      <c r="E556" s="3" t="s">
        <v>2136</v>
      </c>
      <c r="F556" s="4" t="s">
        <v>58</v>
      </c>
      <c r="G556" s="3" t="s">
        <v>2137</v>
      </c>
      <c r="H556" s="3" t="s">
        <v>2138</v>
      </c>
      <c r="I556" s="3" t="s">
        <v>193</v>
      </c>
      <c r="J556" s="3" t="s">
        <v>61</v>
      </c>
      <c r="K556" s="3"/>
      <c r="L556" s="3"/>
      <c r="M556" s="3"/>
      <c r="N556" s="3"/>
      <c r="O556" s="3"/>
      <c r="P556" s="3"/>
      <c r="Q556" s="3"/>
      <c r="R556" s="3"/>
      <c r="S556" s="3"/>
    </row>
    <row r="557" spans="1:19" ht="39" x14ac:dyDescent="0.25">
      <c r="A557" s="1">
        <v>40873</v>
      </c>
      <c r="B557" s="1">
        <v>40873</v>
      </c>
      <c r="C557" s="2">
        <f t="shared" si="8"/>
        <v>1</v>
      </c>
      <c r="D557" s="6" t="s">
        <v>2139</v>
      </c>
      <c r="E557" s="3" t="s">
        <v>2140</v>
      </c>
      <c r="F557" s="4" t="s">
        <v>58</v>
      </c>
      <c r="G557" s="3" t="s">
        <v>2141</v>
      </c>
      <c r="H557" s="3" t="s">
        <v>2142</v>
      </c>
      <c r="I557" s="3" t="s">
        <v>105</v>
      </c>
      <c r="J557" s="3" t="s">
        <v>61</v>
      </c>
      <c r="K557" s="3"/>
      <c r="L557" s="3"/>
      <c r="M557" s="3"/>
      <c r="N557" s="3"/>
      <c r="O557" s="3"/>
      <c r="P557" s="3"/>
      <c r="Q557" s="3"/>
      <c r="R557" s="3"/>
      <c r="S557" s="3"/>
    </row>
    <row r="558" spans="1:19" ht="39" x14ac:dyDescent="0.25">
      <c r="A558" s="1">
        <v>40873</v>
      </c>
      <c r="B558" s="1">
        <v>40873</v>
      </c>
      <c r="C558" s="2">
        <f t="shared" si="8"/>
        <v>1</v>
      </c>
      <c r="D558" s="6" t="s">
        <v>1749</v>
      </c>
      <c r="E558" s="3" t="s">
        <v>2144</v>
      </c>
      <c r="F558" s="4" t="s">
        <v>58</v>
      </c>
      <c r="G558" s="3" t="s">
        <v>2145</v>
      </c>
      <c r="H558" s="3" t="s">
        <v>901</v>
      </c>
      <c r="I558" s="3" t="s">
        <v>245</v>
      </c>
      <c r="J558" s="3" t="s">
        <v>61</v>
      </c>
      <c r="K558" s="3"/>
      <c r="L558" s="3"/>
      <c r="M558" s="3"/>
      <c r="N558" s="3"/>
      <c r="O558" s="3"/>
      <c r="P558" s="3"/>
      <c r="Q558" s="3"/>
      <c r="R558" s="3"/>
      <c r="S558" s="3"/>
    </row>
    <row r="559" spans="1:19" ht="26.25" x14ac:dyDescent="0.25">
      <c r="A559" s="1">
        <v>40873</v>
      </c>
      <c r="B559" s="1">
        <v>40873</v>
      </c>
      <c r="C559" s="2">
        <f t="shared" si="8"/>
        <v>1</v>
      </c>
      <c r="D559" s="6" t="s">
        <v>2147</v>
      </c>
      <c r="E559" s="3" t="s">
        <v>2138</v>
      </c>
      <c r="F559" s="4" t="s">
        <v>58</v>
      </c>
      <c r="G559" s="3" t="s">
        <v>2148</v>
      </c>
      <c r="H559" s="3" t="s">
        <v>2138</v>
      </c>
      <c r="I559" s="3" t="s">
        <v>193</v>
      </c>
      <c r="J559" s="3" t="s">
        <v>61</v>
      </c>
      <c r="K559" s="3"/>
      <c r="L559" s="3"/>
      <c r="M559" s="3"/>
      <c r="N559" s="3"/>
      <c r="O559" s="3"/>
      <c r="P559" s="3"/>
      <c r="Q559" s="3"/>
      <c r="R559" s="3"/>
      <c r="S559" s="3"/>
    </row>
    <row r="560" spans="1:19" ht="26.25" x14ac:dyDescent="0.25">
      <c r="A560" s="1">
        <v>40873</v>
      </c>
      <c r="B560" s="1">
        <v>40873</v>
      </c>
      <c r="C560" s="2">
        <f t="shared" si="8"/>
        <v>1</v>
      </c>
      <c r="D560" s="6" t="s">
        <v>2151</v>
      </c>
      <c r="E560" s="3" t="s">
        <v>2152</v>
      </c>
      <c r="F560" s="4" t="s">
        <v>58</v>
      </c>
      <c r="G560" s="3" t="s">
        <v>529</v>
      </c>
      <c r="H560" s="3" t="s">
        <v>2153</v>
      </c>
      <c r="I560" s="3" t="s">
        <v>2154</v>
      </c>
      <c r="J560" s="3" t="s">
        <v>61</v>
      </c>
      <c r="K560" s="3"/>
      <c r="L560" s="3"/>
      <c r="M560" s="3"/>
      <c r="N560" s="3"/>
      <c r="O560" s="3"/>
      <c r="P560" s="3"/>
      <c r="Q560" s="3"/>
      <c r="R560" s="3"/>
      <c r="S560" s="3"/>
    </row>
    <row r="561" spans="1:19" ht="39" x14ac:dyDescent="0.25">
      <c r="A561" s="1">
        <v>40873</v>
      </c>
      <c r="B561" s="1">
        <v>40873</v>
      </c>
      <c r="C561" s="2">
        <f t="shared" si="8"/>
        <v>1</v>
      </c>
      <c r="D561" s="6" t="s">
        <v>2156</v>
      </c>
      <c r="E561" s="3" t="s">
        <v>2157</v>
      </c>
      <c r="F561" s="4" t="s">
        <v>58</v>
      </c>
      <c r="G561" s="3" t="s">
        <v>2158</v>
      </c>
      <c r="H561" s="3" t="s">
        <v>2159</v>
      </c>
      <c r="I561" s="3" t="s">
        <v>888</v>
      </c>
      <c r="J561" s="3" t="s">
        <v>61</v>
      </c>
      <c r="K561" s="3"/>
      <c r="L561" s="3"/>
      <c r="M561" s="3"/>
      <c r="N561" s="3"/>
      <c r="O561" s="3"/>
      <c r="P561" s="3"/>
      <c r="Q561" s="3"/>
      <c r="R561" s="3"/>
      <c r="S561" s="3"/>
    </row>
    <row r="562" spans="1:19" ht="39" x14ac:dyDescent="0.25">
      <c r="A562" s="1">
        <v>40873</v>
      </c>
      <c r="B562" s="1">
        <v>40873</v>
      </c>
      <c r="C562" s="2">
        <f t="shared" si="8"/>
        <v>1</v>
      </c>
      <c r="D562" s="6" t="s">
        <v>2163</v>
      </c>
      <c r="E562" s="3" t="s">
        <v>2164</v>
      </c>
      <c r="F562" s="4" t="s">
        <v>58</v>
      </c>
      <c r="G562" s="3" t="s">
        <v>1317</v>
      </c>
      <c r="H562" s="3"/>
      <c r="I562" s="3" t="s">
        <v>518</v>
      </c>
      <c r="J562" s="3" t="s">
        <v>61</v>
      </c>
      <c r="K562" s="3"/>
      <c r="L562" s="3"/>
      <c r="M562" s="3"/>
      <c r="N562" s="3"/>
      <c r="O562" s="3"/>
      <c r="P562" s="3"/>
      <c r="Q562" s="3"/>
      <c r="R562" s="3"/>
      <c r="S562" s="3"/>
    </row>
    <row r="563" spans="1:19" ht="39" x14ac:dyDescent="0.25">
      <c r="A563" s="1">
        <v>40873</v>
      </c>
      <c r="B563" s="1">
        <v>40873</v>
      </c>
      <c r="C563" s="2">
        <f t="shared" si="8"/>
        <v>1</v>
      </c>
      <c r="D563" s="6" t="s">
        <v>2168</v>
      </c>
      <c r="E563" s="3" t="s">
        <v>2169</v>
      </c>
      <c r="F563" s="4" t="s">
        <v>58</v>
      </c>
      <c r="G563" s="3" t="s">
        <v>2170</v>
      </c>
      <c r="H563" s="3"/>
      <c r="I563" s="3" t="s">
        <v>518</v>
      </c>
      <c r="J563" s="3" t="s">
        <v>61</v>
      </c>
      <c r="K563" s="3"/>
      <c r="L563" s="3"/>
      <c r="M563" s="3"/>
      <c r="N563" s="3"/>
      <c r="O563" s="3"/>
      <c r="P563" s="3"/>
      <c r="Q563" s="3"/>
      <c r="R563" s="3"/>
      <c r="S563" s="3"/>
    </row>
    <row r="564" spans="1:19" ht="39" x14ac:dyDescent="0.25">
      <c r="A564" s="1">
        <v>40873</v>
      </c>
      <c r="B564" s="1">
        <v>40873</v>
      </c>
      <c r="C564" s="2">
        <f t="shared" si="8"/>
        <v>1</v>
      </c>
      <c r="D564" s="6" t="s">
        <v>2174</v>
      </c>
      <c r="E564" s="3" t="s">
        <v>2175</v>
      </c>
      <c r="F564" s="4" t="s">
        <v>58</v>
      </c>
      <c r="G564" s="3" t="s">
        <v>2176</v>
      </c>
      <c r="H564" s="3" t="s">
        <v>2177</v>
      </c>
      <c r="I564" s="3" t="s">
        <v>303</v>
      </c>
      <c r="J564" s="3" t="s">
        <v>61</v>
      </c>
      <c r="K564" s="3"/>
      <c r="L564" s="3"/>
      <c r="M564" s="3"/>
      <c r="N564" s="3"/>
      <c r="O564" s="3"/>
      <c r="P564" s="3"/>
      <c r="Q564" s="3"/>
      <c r="R564" s="3"/>
      <c r="S564" s="3"/>
    </row>
    <row r="565" spans="1:19" ht="51.75" x14ac:dyDescent="0.25">
      <c r="A565" s="1">
        <v>40873</v>
      </c>
      <c r="B565" s="1">
        <v>40873</v>
      </c>
      <c r="C565" s="2">
        <f t="shared" si="8"/>
        <v>1</v>
      </c>
      <c r="D565" s="6" t="s">
        <v>2179</v>
      </c>
      <c r="E565" s="3" t="s">
        <v>2180</v>
      </c>
      <c r="F565" s="4" t="s">
        <v>58</v>
      </c>
      <c r="G565" s="3" t="s">
        <v>2181</v>
      </c>
      <c r="H565" s="3" t="s">
        <v>2182</v>
      </c>
      <c r="I565" s="3" t="s">
        <v>865</v>
      </c>
      <c r="J565" s="3" t="s">
        <v>61</v>
      </c>
      <c r="K565" s="3"/>
      <c r="L565" s="3"/>
      <c r="M565" s="3"/>
      <c r="N565" s="3"/>
      <c r="O565" s="3"/>
      <c r="P565" s="3"/>
      <c r="Q565" s="3"/>
      <c r="R565" s="3"/>
      <c r="S565" s="3"/>
    </row>
    <row r="566" spans="1:19" ht="39" x14ac:dyDescent="0.25">
      <c r="A566" s="1">
        <v>40873</v>
      </c>
      <c r="B566" s="1">
        <v>40873</v>
      </c>
      <c r="C566" s="2">
        <f t="shared" si="8"/>
        <v>1</v>
      </c>
      <c r="D566" s="6" t="s">
        <v>2183</v>
      </c>
      <c r="E566" s="3" t="s">
        <v>2184</v>
      </c>
      <c r="F566" s="4" t="s">
        <v>58</v>
      </c>
      <c r="G566" s="3" t="s">
        <v>2185</v>
      </c>
      <c r="H566" s="3" t="s">
        <v>2186</v>
      </c>
      <c r="I566" s="3" t="s">
        <v>245</v>
      </c>
      <c r="J566" s="3" t="s">
        <v>61</v>
      </c>
      <c r="K566" s="3"/>
      <c r="L566" s="3"/>
      <c r="M566" s="3"/>
      <c r="N566" s="3"/>
      <c r="O566" s="3"/>
      <c r="P566" s="3"/>
      <c r="Q566" s="3"/>
      <c r="R566" s="3"/>
      <c r="S566" s="3"/>
    </row>
    <row r="567" spans="1:19" ht="26.25" x14ac:dyDescent="0.25">
      <c r="A567" s="1">
        <v>40873</v>
      </c>
      <c r="B567" s="1">
        <v>40873</v>
      </c>
      <c r="C567" s="2">
        <f t="shared" si="8"/>
        <v>1</v>
      </c>
      <c r="D567" s="6" t="s">
        <v>1945</v>
      </c>
      <c r="E567" s="3" t="s">
        <v>2187</v>
      </c>
      <c r="F567" s="4" t="s">
        <v>58</v>
      </c>
      <c r="G567" s="3" t="s">
        <v>619</v>
      </c>
      <c r="H567" s="3" t="s">
        <v>620</v>
      </c>
      <c r="I567" s="3" t="s">
        <v>303</v>
      </c>
      <c r="J567" s="3" t="s">
        <v>61</v>
      </c>
      <c r="K567" s="3"/>
      <c r="L567" s="3"/>
      <c r="M567" s="3"/>
      <c r="N567" s="3"/>
      <c r="O567" s="3"/>
      <c r="P567" s="3"/>
      <c r="Q567" s="3"/>
      <c r="R567" s="3"/>
      <c r="S567" s="3"/>
    </row>
    <row r="568" spans="1:19" ht="26.25" x14ac:dyDescent="0.25">
      <c r="A568" s="1">
        <v>40873</v>
      </c>
      <c r="B568" s="1">
        <v>40873</v>
      </c>
      <c r="C568" s="2">
        <f t="shared" si="8"/>
        <v>1</v>
      </c>
      <c r="D568" s="6" t="s">
        <v>2188</v>
      </c>
      <c r="E568" s="3" t="s">
        <v>2189</v>
      </c>
      <c r="F568" s="4" t="s">
        <v>58</v>
      </c>
      <c r="G568" s="3" t="s">
        <v>2190</v>
      </c>
      <c r="H568" s="3"/>
      <c r="I568" s="3" t="s">
        <v>2191</v>
      </c>
      <c r="J568" s="3" t="s">
        <v>61</v>
      </c>
      <c r="K568" s="3"/>
      <c r="L568" s="3"/>
      <c r="M568" s="3"/>
      <c r="N568" s="3"/>
      <c r="O568" s="3"/>
      <c r="P568" s="3"/>
      <c r="Q568" s="3"/>
      <c r="R568" s="3"/>
      <c r="S568" s="3"/>
    </row>
    <row r="569" spans="1:19" ht="51.75" x14ac:dyDescent="0.25">
      <c r="A569" s="1">
        <v>40873</v>
      </c>
      <c r="B569" s="1">
        <v>40873</v>
      </c>
      <c r="C569" s="2">
        <f t="shared" si="8"/>
        <v>1</v>
      </c>
      <c r="D569" s="6" t="s">
        <v>2193</v>
      </c>
      <c r="E569" s="3" t="s">
        <v>2194</v>
      </c>
      <c r="F569" s="4" t="s">
        <v>58</v>
      </c>
      <c r="G569" s="3" t="s">
        <v>2195</v>
      </c>
      <c r="H569" s="3" t="s">
        <v>2196</v>
      </c>
      <c r="I569" s="3" t="s">
        <v>179</v>
      </c>
      <c r="J569" s="3" t="s">
        <v>61</v>
      </c>
      <c r="K569" s="3"/>
      <c r="L569" s="3"/>
      <c r="M569" s="3"/>
      <c r="N569" s="3"/>
      <c r="O569" s="3"/>
      <c r="P569" s="3"/>
      <c r="Q569" s="3"/>
      <c r="R569" s="3"/>
      <c r="S569" s="3"/>
    </row>
    <row r="570" spans="1:19" ht="39" x14ac:dyDescent="0.25">
      <c r="A570" s="1">
        <v>40873</v>
      </c>
      <c r="B570" s="1">
        <v>40873</v>
      </c>
      <c r="C570" s="2">
        <f t="shared" si="8"/>
        <v>1</v>
      </c>
      <c r="D570" s="6" t="s">
        <v>2198</v>
      </c>
      <c r="E570" s="3" t="s">
        <v>2199</v>
      </c>
      <c r="F570" s="4" t="s">
        <v>58</v>
      </c>
      <c r="G570" s="3" t="s">
        <v>2200</v>
      </c>
      <c r="H570" s="3" t="s">
        <v>2201</v>
      </c>
      <c r="I570" s="3" t="s">
        <v>85</v>
      </c>
      <c r="J570" s="3" t="s">
        <v>61</v>
      </c>
      <c r="K570" s="3"/>
      <c r="L570" s="3"/>
      <c r="M570" s="3"/>
      <c r="N570" s="3"/>
      <c r="O570" s="3"/>
      <c r="P570" s="3"/>
      <c r="Q570" s="3"/>
      <c r="R570" s="3"/>
      <c r="S570" s="3"/>
    </row>
    <row r="571" spans="1:19" ht="39" x14ac:dyDescent="0.25">
      <c r="A571" s="1">
        <v>40874</v>
      </c>
      <c r="B571" s="1">
        <v>40874</v>
      </c>
      <c r="C571" s="2">
        <f t="shared" si="8"/>
        <v>1</v>
      </c>
      <c r="D571" s="6" t="s">
        <v>2208</v>
      </c>
      <c r="E571" s="3" t="s">
        <v>2209</v>
      </c>
      <c r="F571" s="4" t="s">
        <v>58</v>
      </c>
      <c r="G571" s="3" t="s">
        <v>2210</v>
      </c>
      <c r="H571" s="3" t="s">
        <v>215</v>
      </c>
      <c r="I571" s="3" t="s">
        <v>2211</v>
      </c>
      <c r="J571" s="3" t="s">
        <v>61</v>
      </c>
      <c r="K571" s="3"/>
      <c r="L571" s="3"/>
      <c r="M571" s="3"/>
      <c r="N571" s="3"/>
      <c r="O571" s="3"/>
      <c r="P571" s="3"/>
      <c r="Q571" s="3"/>
      <c r="R571" s="3"/>
      <c r="S571" s="3"/>
    </row>
    <row r="572" spans="1:19" x14ac:dyDescent="0.25">
      <c r="A572" s="1">
        <v>40874</v>
      </c>
      <c r="B572" s="1">
        <v>40874</v>
      </c>
      <c r="C572" s="2">
        <f t="shared" si="8"/>
        <v>1</v>
      </c>
      <c r="D572" s="6" t="s">
        <v>2213</v>
      </c>
      <c r="E572" s="3" t="s">
        <v>2213</v>
      </c>
      <c r="F572" s="4" t="s">
        <v>58</v>
      </c>
      <c r="G572" s="3" t="s">
        <v>2214</v>
      </c>
      <c r="H572" s="3"/>
      <c r="I572" s="3" t="s">
        <v>60</v>
      </c>
      <c r="J572" s="3" t="s">
        <v>61</v>
      </c>
      <c r="K572" s="3"/>
      <c r="L572" s="3"/>
      <c r="M572" s="3"/>
      <c r="N572" s="3"/>
      <c r="O572" s="3"/>
      <c r="P572" s="3"/>
      <c r="Q572" s="3"/>
      <c r="R572" s="3"/>
      <c r="S572" s="3"/>
    </row>
    <row r="573" spans="1:19" ht="39" x14ac:dyDescent="0.25">
      <c r="A573" s="1">
        <v>40875</v>
      </c>
      <c r="B573" s="1">
        <v>40875</v>
      </c>
      <c r="C573" s="2">
        <f t="shared" si="8"/>
        <v>1</v>
      </c>
      <c r="D573" s="6" t="s">
        <v>2218</v>
      </c>
      <c r="E573" s="3" t="s">
        <v>2219</v>
      </c>
      <c r="F573" s="4" t="s">
        <v>58</v>
      </c>
      <c r="G573" s="3" t="s">
        <v>215</v>
      </c>
      <c r="H573" s="3"/>
      <c r="I573" s="3" t="s">
        <v>125</v>
      </c>
      <c r="J573" s="3" t="s">
        <v>61</v>
      </c>
      <c r="K573" s="3"/>
      <c r="L573" s="3"/>
      <c r="M573" s="3"/>
      <c r="N573" s="3"/>
      <c r="O573" s="3"/>
      <c r="P573" s="3"/>
      <c r="Q573" s="3"/>
      <c r="R573" s="3"/>
      <c r="S573" s="3"/>
    </row>
    <row r="574" spans="1:19" ht="39" x14ac:dyDescent="0.25">
      <c r="A574" s="1">
        <v>40875</v>
      </c>
      <c r="B574" s="1">
        <v>40875</v>
      </c>
      <c r="C574" s="2">
        <f t="shared" si="8"/>
        <v>1</v>
      </c>
      <c r="D574" s="6" t="s">
        <v>2224</v>
      </c>
      <c r="E574" s="3" t="s">
        <v>2225</v>
      </c>
      <c r="F574" s="4" t="s">
        <v>58</v>
      </c>
      <c r="G574" s="3" t="s">
        <v>215</v>
      </c>
      <c r="H574" s="3"/>
      <c r="I574" s="3" t="s">
        <v>2226</v>
      </c>
      <c r="J574" s="3" t="s">
        <v>61</v>
      </c>
      <c r="K574" s="3"/>
      <c r="L574" s="3"/>
      <c r="M574" s="3"/>
      <c r="N574" s="3"/>
      <c r="O574" s="3"/>
      <c r="P574" s="3"/>
      <c r="Q574" s="3"/>
      <c r="R574" s="3"/>
      <c r="S574" s="3"/>
    </row>
    <row r="575" spans="1:19" ht="51.75" x14ac:dyDescent="0.25">
      <c r="A575" s="1">
        <v>40876</v>
      </c>
      <c r="B575" s="1">
        <v>40876</v>
      </c>
      <c r="C575" s="2">
        <f t="shared" si="8"/>
        <v>1</v>
      </c>
      <c r="D575" s="6" t="s">
        <v>2147</v>
      </c>
      <c r="E575" s="3" t="s">
        <v>2233</v>
      </c>
      <c r="F575" s="4" t="s">
        <v>58</v>
      </c>
      <c r="G575" s="3" t="s">
        <v>2234</v>
      </c>
      <c r="H575" s="3" t="s">
        <v>2235</v>
      </c>
      <c r="I575" s="3" t="s">
        <v>91</v>
      </c>
      <c r="J575" s="3" t="s">
        <v>61</v>
      </c>
      <c r="K575" s="3"/>
      <c r="L575" s="3"/>
      <c r="M575" s="3"/>
      <c r="N575" s="3"/>
      <c r="O575" s="3"/>
      <c r="P575" s="3"/>
      <c r="Q575" s="3"/>
      <c r="R575" s="3"/>
      <c r="S575" s="3"/>
    </row>
    <row r="576" spans="1:19" ht="51.75" x14ac:dyDescent="0.25">
      <c r="A576" s="30">
        <v>40876</v>
      </c>
      <c r="B576" s="30">
        <v>40876</v>
      </c>
      <c r="C576" s="31">
        <f t="shared" si="8"/>
        <v>1</v>
      </c>
      <c r="D576" s="32" t="s">
        <v>2238</v>
      </c>
      <c r="E576" s="33" t="s">
        <v>2239</v>
      </c>
      <c r="F576" s="4" t="s">
        <v>58</v>
      </c>
      <c r="G576" s="33" t="s">
        <v>1127</v>
      </c>
      <c r="H576" s="33" t="s">
        <v>1128</v>
      </c>
      <c r="I576" s="33" t="s">
        <v>303</v>
      </c>
      <c r="J576" s="33" t="s">
        <v>61</v>
      </c>
      <c r="K576" s="33"/>
      <c r="L576" s="33"/>
      <c r="M576" s="33"/>
      <c r="N576" s="33"/>
      <c r="O576" s="33"/>
      <c r="P576" s="33"/>
      <c r="Q576" s="33"/>
      <c r="R576" s="33"/>
      <c r="S576" s="33"/>
    </row>
    <row r="577" spans="1:19" ht="26.25" x14ac:dyDescent="0.25">
      <c r="A577" s="13">
        <v>40877</v>
      </c>
      <c r="B577" s="13">
        <v>40877</v>
      </c>
      <c r="C577" s="21">
        <f t="shared" ref="C577:C640" si="9">(B577-A577)+1</f>
        <v>1</v>
      </c>
      <c r="D577" s="22" t="s">
        <v>2240</v>
      </c>
      <c r="E577" s="9" t="s">
        <v>2241</v>
      </c>
      <c r="F577" s="5" t="s">
        <v>58</v>
      </c>
      <c r="G577" s="9" t="s">
        <v>215</v>
      </c>
      <c r="H577" s="9"/>
      <c r="I577" s="9" t="s">
        <v>2242</v>
      </c>
      <c r="J577" s="9" t="s">
        <v>61</v>
      </c>
      <c r="K577" s="9"/>
      <c r="L577" s="9"/>
      <c r="M577" s="9"/>
      <c r="N577" s="9"/>
      <c r="O577" s="9"/>
      <c r="P577" s="9"/>
      <c r="Q577" s="9"/>
      <c r="R577" s="9"/>
      <c r="S577" s="9"/>
    </row>
    <row r="578" spans="1:19" ht="51.75" x14ac:dyDescent="0.25">
      <c r="A578" s="1">
        <v>40878</v>
      </c>
      <c r="B578" s="1">
        <v>40878</v>
      </c>
      <c r="C578" s="2">
        <f t="shared" si="9"/>
        <v>1</v>
      </c>
      <c r="D578" s="6" t="s">
        <v>2243</v>
      </c>
      <c r="E578" s="3" t="s">
        <v>2244</v>
      </c>
      <c r="F578" s="4" t="s">
        <v>58</v>
      </c>
      <c r="G578" s="3" t="s">
        <v>557</v>
      </c>
      <c r="H578" s="3"/>
      <c r="I578" s="3" t="s">
        <v>558</v>
      </c>
      <c r="J578" s="3" t="s">
        <v>61</v>
      </c>
      <c r="K578" s="3"/>
      <c r="L578" s="3"/>
      <c r="M578" s="3"/>
      <c r="N578" s="3"/>
      <c r="O578" s="3"/>
      <c r="P578" s="3"/>
      <c r="Q578" s="3"/>
      <c r="R578" s="3"/>
      <c r="S578" s="3"/>
    </row>
    <row r="579" spans="1:19" ht="26.25" x14ac:dyDescent="0.25">
      <c r="A579" s="1">
        <v>40878</v>
      </c>
      <c r="B579" s="1">
        <v>40878</v>
      </c>
      <c r="C579" s="2">
        <f t="shared" si="9"/>
        <v>1</v>
      </c>
      <c r="D579" s="6" t="s">
        <v>2245</v>
      </c>
      <c r="E579" s="3" t="s">
        <v>2246</v>
      </c>
      <c r="F579" s="4" t="s">
        <v>58</v>
      </c>
      <c r="G579" s="3" t="s">
        <v>215</v>
      </c>
      <c r="H579" s="3"/>
      <c r="I579" s="3" t="s">
        <v>1963</v>
      </c>
      <c r="J579" s="3" t="s">
        <v>61</v>
      </c>
      <c r="K579" s="3"/>
      <c r="L579" s="3"/>
      <c r="M579" s="3"/>
      <c r="N579" s="3"/>
      <c r="O579" s="3"/>
      <c r="P579" s="3"/>
      <c r="Q579" s="3"/>
      <c r="R579" s="3"/>
      <c r="S579" s="3"/>
    </row>
    <row r="580" spans="1:19" ht="39" x14ac:dyDescent="0.25">
      <c r="A580" s="1">
        <v>40878</v>
      </c>
      <c r="B580" s="1">
        <v>40878</v>
      </c>
      <c r="C580" s="2">
        <f t="shared" si="9"/>
        <v>1</v>
      </c>
      <c r="D580" s="6" t="s">
        <v>2248</v>
      </c>
      <c r="E580" s="3" t="s">
        <v>2249</v>
      </c>
      <c r="F580" s="4" t="s">
        <v>58</v>
      </c>
      <c r="G580" s="3" t="s">
        <v>2250</v>
      </c>
      <c r="H580" s="3"/>
      <c r="I580" s="3" t="s">
        <v>407</v>
      </c>
      <c r="J580" s="3" t="s">
        <v>61</v>
      </c>
      <c r="K580" s="3"/>
      <c r="L580" s="3"/>
      <c r="M580" s="3"/>
      <c r="N580" s="3"/>
      <c r="O580" s="3"/>
      <c r="P580" s="3"/>
      <c r="Q580" s="3"/>
      <c r="R580" s="3"/>
      <c r="S580" s="3"/>
    </row>
    <row r="581" spans="1:19" ht="26.25" x14ac:dyDescent="0.25">
      <c r="A581" s="1">
        <v>40878</v>
      </c>
      <c r="B581" s="1">
        <v>40878</v>
      </c>
      <c r="C581" s="2">
        <f t="shared" si="9"/>
        <v>1</v>
      </c>
      <c r="D581" s="6" t="s">
        <v>1838</v>
      </c>
      <c r="E581" s="3" t="s">
        <v>618</v>
      </c>
      <c r="F581" s="4" t="s">
        <v>58</v>
      </c>
      <c r="G581" s="3" t="s">
        <v>619</v>
      </c>
      <c r="H581" s="3" t="s">
        <v>2080</v>
      </c>
      <c r="I581" s="3" t="s">
        <v>303</v>
      </c>
      <c r="J581" s="3" t="s">
        <v>61</v>
      </c>
      <c r="K581" s="3"/>
      <c r="L581" s="3"/>
      <c r="M581" s="3"/>
      <c r="N581" s="3"/>
      <c r="O581" s="3"/>
      <c r="P581" s="3"/>
      <c r="Q581" s="3"/>
      <c r="R581" s="3"/>
      <c r="S581" s="3"/>
    </row>
    <row r="582" spans="1:19" ht="26.25" x14ac:dyDescent="0.25">
      <c r="A582" s="1">
        <v>40879</v>
      </c>
      <c r="B582" s="1">
        <v>40879</v>
      </c>
      <c r="C582" s="2">
        <f t="shared" si="9"/>
        <v>1</v>
      </c>
      <c r="D582" s="6" t="s">
        <v>2147</v>
      </c>
      <c r="E582" s="3" t="s">
        <v>2267</v>
      </c>
      <c r="F582" s="4" t="s">
        <v>58</v>
      </c>
      <c r="G582" s="3" t="s">
        <v>215</v>
      </c>
      <c r="H582" s="3"/>
      <c r="I582" s="3" t="s">
        <v>440</v>
      </c>
      <c r="J582" s="3" t="s">
        <v>61</v>
      </c>
      <c r="K582" s="3"/>
      <c r="L582" s="3"/>
      <c r="M582" s="3"/>
      <c r="N582" s="3"/>
      <c r="O582" s="3"/>
      <c r="P582" s="3"/>
      <c r="Q582" s="3"/>
      <c r="R582" s="3"/>
      <c r="S582" s="3"/>
    </row>
    <row r="583" spans="1:19" ht="26.25" x14ac:dyDescent="0.25">
      <c r="A583" s="1">
        <v>40879</v>
      </c>
      <c r="B583" s="1">
        <v>40879</v>
      </c>
      <c r="C583" s="2">
        <f t="shared" si="9"/>
        <v>1</v>
      </c>
      <c r="D583" s="6" t="s">
        <v>2270</v>
      </c>
      <c r="E583" s="3" t="s">
        <v>829</v>
      </c>
      <c r="F583" s="4" t="s">
        <v>58</v>
      </c>
      <c r="G583" s="3" t="s">
        <v>2271</v>
      </c>
      <c r="H583" s="3" t="s">
        <v>831</v>
      </c>
      <c r="I583" s="3" t="s">
        <v>193</v>
      </c>
      <c r="J583" s="3" t="s">
        <v>61</v>
      </c>
      <c r="K583" s="3"/>
      <c r="L583" s="3"/>
      <c r="M583" s="3"/>
      <c r="N583" s="3"/>
      <c r="O583" s="3"/>
      <c r="P583" s="3"/>
      <c r="Q583" s="3"/>
      <c r="R583" s="3"/>
      <c r="S583" s="3"/>
    </row>
    <row r="584" spans="1:19" ht="51.75" x14ac:dyDescent="0.25">
      <c r="A584" s="1">
        <v>40879</v>
      </c>
      <c r="B584" s="1">
        <v>40879</v>
      </c>
      <c r="C584" s="2">
        <f t="shared" si="9"/>
        <v>1</v>
      </c>
      <c r="D584" s="6" t="s">
        <v>2273</v>
      </c>
      <c r="E584" s="3" t="s">
        <v>2274</v>
      </c>
      <c r="F584" s="4" t="s">
        <v>58</v>
      </c>
      <c r="G584" s="3" t="s">
        <v>2275</v>
      </c>
      <c r="H584" s="3"/>
      <c r="I584" s="3" t="s">
        <v>303</v>
      </c>
      <c r="J584" s="3" t="s">
        <v>61</v>
      </c>
      <c r="K584" s="3"/>
      <c r="L584" s="3"/>
      <c r="M584" s="3"/>
      <c r="N584" s="3"/>
      <c r="O584" s="3"/>
      <c r="P584" s="3"/>
      <c r="Q584" s="3"/>
      <c r="R584" s="3"/>
      <c r="S584" s="3"/>
    </row>
    <row r="585" spans="1:19" ht="39" x14ac:dyDescent="0.25">
      <c r="A585" s="1">
        <v>40879</v>
      </c>
      <c r="B585" s="1">
        <v>40879</v>
      </c>
      <c r="C585" s="2">
        <f t="shared" si="9"/>
        <v>1</v>
      </c>
      <c r="D585" s="6" t="s">
        <v>2276</v>
      </c>
      <c r="E585" s="3" t="s">
        <v>2277</v>
      </c>
      <c r="F585" s="4" t="s">
        <v>58</v>
      </c>
      <c r="G585" s="3" t="s">
        <v>2278</v>
      </c>
      <c r="H585" s="3" t="s">
        <v>2279</v>
      </c>
      <c r="I585" s="3" t="s">
        <v>797</v>
      </c>
      <c r="J585" s="3" t="s">
        <v>61</v>
      </c>
      <c r="K585" s="3"/>
      <c r="L585" s="3"/>
      <c r="M585" s="3"/>
      <c r="N585" s="3"/>
      <c r="O585" s="3"/>
      <c r="P585" s="3"/>
      <c r="Q585" s="3"/>
      <c r="R585" s="3"/>
      <c r="S585" s="3"/>
    </row>
    <row r="586" spans="1:19" ht="39" x14ac:dyDescent="0.25">
      <c r="A586" s="1">
        <v>40880</v>
      </c>
      <c r="B586" s="1">
        <v>40880</v>
      </c>
      <c r="C586" s="2">
        <f t="shared" si="9"/>
        <v>1</v>
      </c>
      <c r="D586" s="6" t="s">
        <v>2319</v>
      </c>
      <c r="E586" s="3" t="s">
        <v>2320</v>
      </c>
      <c r="F586" s="4" t="s">
        <v>58</v>
      </c>
      <c r="G586" s="3" t="s">
        <v>529</v>
      </c>
      <c r="H586" s="3"/>
      <c r="I586" s="3" t="s">
        <v>172</v>
      </c>
      <c r="J586" s="3" t="s">
        <v>61</v>
      </c>
      <c r="K586" s="3"/>
      <c r="L586" s="3"/>
      <c r="M586" s="3"/>
      <c r="N586" s="3"/>
      <c r="O586" s="3"/>
      <c r="P586" s="3"/>
      <c r="Q586" s="3"/>
      <c r="R586" s="3"/>
      <c r="S586" s="3"/>
    </row>
    <row r="587" spans="1:19" ht="51.75" x14ac:dyDescent="0.25">
      <c r="A587" s="1">
        <v>40880</v>
      </c>
      <c r="B587" s="1">
        <v>40880</v>
      </c>
      <c r="C587" s="2">
        <f t="shared" si="9"/>
        <v>1</v>
      </c>
      <c r="D587" s="6" t="s">
        <v>2322</v>
      </c>
      <c r="E587" s="3" t="s">
        <v>2323</v>
      </c>
      <c r="F587" s="4" t="s">
        <v>58</v>
      </c>
      <c r="G587" s="3" t="s">
        <v>1726</v>
      </c>
      <c r="H587" s="3" t="s">
        <v>2324</v>
      </c>
      <c r="I587" s="3" t="s">
        <v>1727</v>
      </c>
      <c r="J587" s="3" t="s">
        <v>61</v>
      </c>
      <c r="K587" s="3"/>
      <c r="L587" s="3"/>
      <c r="M587" s="3"/>
      <c r="N587" s="3"/>
      <c r="O587" s="3"/>
      <c r="P587" s="3"/>
      <c r="Q587" s="3"/>
      <c r="R587" s="3"/>
      <c r="S587" s="3"/>
    </row>
    <row r="588" spans="1:19" ht="51.75" x14ac:dyDescent="0.25">
      <c r="A588" s="1">
        <v>40880</v>
      </c>
      <c r="B588" s="1">
        <v>40880</v>
      </c>
      <c r="C588" s="2">
        <f t="shared" si="9"/>
        <v>1</v>
      </c>
      <c r="D588" s="6" t="s">
        <v>2325</v>
      </c>
      <c r="E588" s="3" t="s">
        <v>2326</v>
      </c>
      <c r="F588" s="4" t="s">
        <v>58</v>
      </c>
      <c r="G588" s="3" t="s">
        <v>2327</v>
      </c>
      <c r="H588" s="3"/>
      <c r="I588" s="3" t="s">
        <v>594</v>
      </c>
      <c r="J588" s="3" t="s">
        <v>61</v>
      </c>
      <c r="K588" s="3"/>
      <c r="L588" s="3"/>
      <c r="M588" s="3"/>
      <c r="N588" s="3"/>
      <c r="O588" s="3"/>
      <c r="P588" s="3"/>
      <c r="Q588" s="3"/>
      <c r="R588" s="3"/>
      <c r="S588" s="3"/>
    </row>
    <row r="589" spans="1:19" ht="51.75" x14ac:dyDescent="0.25">
      <c r="A589" s="1">
        <v>40880</v>
      </c>
      <c r="B589" s="1">
        <v>40880</v>
      </c>
      <c r="C589" s="2">
        <f t="shared" si="9"/>
        <v>1</v>
      </c>
      <c r="D589" s="6" t="s">
        <v>2328</v>
      </c>
      <c r="E589" s="3" t="s">
        <v>2326</v>
      </c>
      <c r="F589" s="4" t="s">
        <v>58</v>
      </c>
      <c r="G589" s="3" t="s">
        <v>2329</v>
      </c>
      <c r="H589" s="3" t="s">
        <v>2330</v>
      </c>
      <c r="I589" s="3" t="s">
        <v>956</v>
      </c>
      <c r="J589" s="3" t="s">
        <v>61</v>
      </c>
      <c r="K589" s="3"/>
      <c r="L589" s="3"/>
      <c r="M589" s="3"/>
      <c r="N589" s="3"/>
      <c r="O589" s="3"/>
      <c r="P589" s="3"/>
      <c r="Q589" s="3"/>
      <c r="R589" s="3"/>
      <c r="S589" s="3"/>
    </row>
    <row r="590" spans="1:19" ht="51.75" x14ac:dyDescent="0.25">
      <c r="A590" s="1">
        <v>40880</v>
      </c>
      <c r="B590" s="1">
        <v>40880</v>
      </c>
      <c r="C590" s="2">
        <f t="shared" si="9"/>
        <v>1</v>
      </c>
      <c r="D590" s="6" t="s">
        <v>2328</v>
      </c>
      <c r="E590" s="3" t="s">
        <v>2332</v>
      </c>
      <c r="F590" s="4" t="s">
        <v>58</v>
      </c>
      <c r="G590" s="3" t="s">
        <v>2333</v>
      </c>
      <c r="H590" s="3" t="s">
        <v>2334</v>
      </c>
      <c r="I590" s="3" t="s">
        <v>594</v>
      </c>
      <c r="J590" s="3" t="s">
        <v>61</v>
      </c>
      <c r="K590" s="3"/>
      <c r="L590" s="3"/>
      <c r="M590" s="3"/>
      <c r="N590" s="3"/>
      <c r="O590" s="3"/>
      <c r="P590" s="3"/>
      <c r="Q590" s="3"/>
      <c r="R590" s="3"/>
      <c r="S590" s="3"/>
    </row>
    <row r="591" spans="1:19" ht="51.75" x14ac:dyDescent="0.25">
      <c r="A591" s="1">
        <v>40880</v>
      </c>
      <c r="B591" s="1">
        <v>40880</v>
      </c>
      <c r="C591" s="2">
        <f t="shared" si="9"/>
        <v>1</v>
      </c>
      <c r="D591" s="6" t="s">
        <v>2328</v>
      </c>
      <c r="E591" s="3" t="s">
        <v>2326</v>
      </c>
      <c r="F591" s="4" t="s">
        <v>58</v>
      </c>
      <c r="G591" s="3" t="s">
        <v>2336</v>
      </c>
      <c r="H591" s="3"/>
      <c r="I591" s="3" t="s">
        <v>594</v>
      </c>
      <c r="J591" s="3" t="s">
        <v>61</v>
      </c>
      <c r="K591" s="3"/>
      <c r="L591" s="3"/>
      <c r="M591" s="3"/>
      <c r="N591" s="3"/>
      <c r="O591" s="3"/>
      <c r="P591" s="3"/>
      <c r="Q591" s="3"/>
      <c r="R591" s="3"/>
      <c r="S591" s="3"/>
    </row>
    <row r="592" spans="1:19" ht="39" x14ac:dyDescent="0.25">
      <c r="A592" s="1">
        <v>40880</v>
      </c>
      <c r="B592" s="1">
        <v>40880</v>
      </c>
      <c r="C592" s="2">
        <f t="shared" si="9"/>
        <v>1</v>
      </c>
      <c r="D592" s="6" t="s">
        <v>2338</v>
      </c>
      <c r="E592" s="3" t="s">
        <v>2339</v>
      </c>
      <c r="F592" s="4" t="s">
        <v>58</v>
      </c>
      <c r="G592" s="3" t="s">
        <v>2340</v>
      </c>
      <c r="H592" s="3"/>
      <c r="I592" s="3" t="s">
        <v>2341</v>
      </c>
      <c r="J592" s="3" t="s">
        <v>61</v>
      </c>
      <c r="K592" s="3"/>
      <c r="L592" s="3"/>
      <c r="M592" s="3"/>
      <c r="N592" s="3"/>
      <c r="O592" s="3"/>
      <c r="P592" s="3"/>
      <c r="Q592" s="3"/>
      <c r="R592" s="3"/>
      <c r="S592" s="3"/>
    </row>
    <row r="593" spans="1:19" ht="51.75" x14ac:dyDescent="0.25">
      <c r="A593" s="1">
        <v>40880</v>
      </c>
      <c r="B593" s="1">
        <v>40880</v>
      </c>
      <c r="C593" s="2">
        <f t="shared" si="9"/>
        <v>1</v>
      </c>
      <c r="D593" s="6" t="s">
        <v>1988</v>
      </c>
      <c r="E593" s="3" t="s">
        <v>2344</v>
      </c>
      <c r="F593" s="4" t="s">
        <v>58</v>
      </c>
      <c r="G593" s="3" t="s">
        <v>1751</v>
      </c>
      <c r="H593" s="3"/>
      <c r="I593" s="3" t="s">
        <v>963</v>
      </c>
      <c r="J593" s="3" t="s">
        <v>61</v>
      </c>
      <c r="K593" s="3"/>
      <c r="L593" s="3"/>
      <c r="M593" s="3"/>
      <c r="N593" s="3"/>
      <c r="O593" s="3"/>
      <c r="P593" s="3"/>
      <c r="Q593" s="3"/>
      <c r="R593" s="3"/>
      <c r="S593" s="3"/>
    </row>
    <row r="594" spans="1:19" ht="26.25" x14ac:dyDescent="0.25">
      <c r="A594" s="1">
        <v>40880</v>
      </c>
      <c r="B594" s="1">
        <v>40880</v>
      </c>
      <c r="C594" s="2">
        <f t="shared" si="9"/>
        <v>1</v>
      </c>
      <c r="D594" s="6" t="s">
        <v>2346</v>
      </c>
      <c r="E594" s="3" t="s">
        <v>1942</v>
      </c>
      <c r="F594" s="4" t="s">
        <v>58</v>
      </c>
      <c r="G594" s="3" t="s">
        <v>2347</v>
      </c>
      <c r="H594" s="3" t="s">
        <v>2348</v>
      </c>
      <c r="I594" s="3" t="s">
        <v>227</v>
      </c>
      <c r="J594" s="3" t="s">
        <v>61</v>
      </c>
      <c r="K594" s="3"/>
      <c r="L594" s="3"/>
      <c r="M594" s="3"/>
      <c r="N594" s="3"/>
      <c r="O594" s="3"/>
      <c r="P594" s="3"/>
      <c r="Q594" s="3"/>
      <c r="R594" s="3"/>
      <c r="S594" s="3"/>
    </row>
    <row r="595" spans="1:19" ht="51.75" x14ac:dyDescent="0.25">
      <c r="A595" s="1">
        <v>40880</v>
      </c>
      <c r="B595" s="1">
        <v>40880</v>
      </c>
      <c r="C595" s="2">
        <f t="shared" si="9"/>
        <v>1</v>
      </c>
      <c r="D595" s="6" t="s">
        <v>2351</v>
      </c>
      <c r="E595" s="3" t="s">
        <v>2351</v>
      </c>
      <c r="F595" s="4" t="s">
        <v>58</v>
      </c>
      <c r="G595" s="3" t="s">
        <v>1267</v>
      </c>
      <c r="H595" s="3" t="s">
        <v>321</v>
      </c>
      <c r="I595" s="3" t="s">
        <v>227</v>
      </c>
      <c r="J595" s="3" t="s">
        <v>61</v>
      </c>
      <c r="K595" s="3"/>
      <c r="L595" s="3"/>
      <c r="M595" s="3"/>
      <c r="N595" s="3"/>
      <c r="O595" s="3"/>
      <c r="P595" s="3"/>
      <c r="Q595" s="3"/>
      <c r="R595" s="3"/>
      <c r="S595" s="3"/>
    </row>
    <row r="596" spans="1:19" ht="39" x14ac:dyDescent="0.25">
      <c r="A596" s="1">
        <v>40880</v>
      </c>
      <c r="B596" s="1">
        <v>40880</v>
      </c>
      <c r="C596" s="2">
        <f t="shared" si="9"/>
        <v>1</v>
      </c>
      <c r="D596" s="6" t="s">
        <v>2355</v>
      </c>
      <c r="E596" s="3" t="s">
        <v>2356</v>
      </c>
      <c r="F596" s="4" t="s">
        <v>58</v>
      </c>
      <c r="G596" s="3" t="s">
        <v>2357</v>
      </c>
      <c r="H596" s="3"/>
      <c r="I596" s="3" t="s">
        <v>978</v>
      </c>
      <c r="J596" s="3" t="s">
        <v>61</v>
      </c>
      <c r="K596" s="3"/>
      <c r="L596" s="3"/>
      <c r="M596" s="3"/>
      <c r="N596" s="3"/>
      <c r="O596" s="3"/>
      <c r="P596" s="3"/>
      <c r="Q596" s="3"/>
      <c r="R596" s="3"/>
      <c r="S596" s="3"/>
    </row>
    <row r="597" spans="1:19" ht="39" x14ac:dyDescent="0.25">
      <c r="A597" s="1">
        <v>40880</v>
      </c>
      <c r="B597" s="1">
        <v>40880</v>
      </c>
      <c r="C597" s="2">
        <f t="shared" si="9"/>
        <v>1</v>
      </c>
      <c r="D597" s="6" t="s">
        <v>2360</v>
      </c>
      <c r="E597" s="3" t="s">
        <v>2361</v>
      </c>
      <c r="F597" s="4" t="s">
        <v>58</v>
      </c>
      <c r="G597" s="3" t="s">
        <v>2362</v>
      </c>
      <c r="H597" s="3" t="s">
        <v>2363</v>
      </c>
      <c r="I597" s="3" t="s">
        <v>2364</v>
      </c>
      <c r="J597" s="3" t="s">
        <v>61</v>
      </c>
      <c r="K597" s="3"/>
      <c r="L597" s="3"/>
      <c r="M597" s="3"/>
      <c r="N597" s="3"/>
      <c r="O597" s="3"/>
      <c r="P597" s="3"/>
      <c r="Q597" s="3"/>
      <c r="R597" s="3"/>
      <c r="S597" s="3"/>
    </row>
    <row r="598" spans="1:19" ht="39" x14ac:dyDescent="0.25">
      <c r="A598" s="1">
        <v>40880</v>
      </c>
      <c r="B598" s="1">
        <v>40880</v>
      </c>
      <c r="C598" s="2">
        <f t="shared" si="9"/>
        <v>1</v>
      </c>
      <c r="D598" s="6" t="s">
        <v>2368</v>
      </c>
      <c r="E598" s="3" t="s">
        <v>2369</v>
      </c>
      <c r="F598" s="4" t="s">
        <v>58</v>
      </c>
      <c r="G598" s="3" t="s">
        <v>2370</v>
      </c>
      <c r="H598" s="3" t="s">
        <v>2371</v>
      </c>
      <c r="I598" s="3" t="s">
        <v>85</v>
      </c>
      <c r="J598" s="3" t="s">
        <v>61</v>
      </c>
      <c r="K598" s="3"/>
      <c r="L598" s="3"/>
      <c r="M598" s="3"/>
      <c r="N598" s="3"/>
      <c r="O598" s="3"/>
      <c r="P598" s="3"/>
      <c r="Q598" s="3"/>
      <c r="R598" s="3"/>
      <c r="S598" s="3"/>
    </row>
    <row r="599" spans="1:19" ht="39" x14ac:dyDescent="0.25">
      <c r="A599" s="1">
        <v>40880</v>
      </c>
      <c r="B599" s="1">
        <v>40880</v>
      </c>
      <c r="C599" s="2">
        <f t="shared" si="9"/>
        <v>1</v>
      </c>
      <c r="D599" s="6" t="s">
        <v>2373</v>
      </c>
      <c r="E599" s="3" t="s">
        <v>2374</v>
      </c>
      <c r="F599" s="4" t="s">
        <v>58</v>
      </c>
      <c r="G599" s="3" t="s">
        <v>2375</v>
      </c>
      <c r="H599" s="3"/>
      <c r="I599" s="3" t="s">
        <v>1676</v>
      </c>
      <c r="J599" s="3" t="s">
        <v>61</v>
      </c>
      <c r="K599" s="3"/>
      <c r="L599" s="3"/>
      <c r="M599" s="3"/>
      <c r="N599" s="3"/>
      <c r="O599" s="3"/>
      <c r="P599" s="3"/>
      <c r="Q599" s="3"/>
      <c r="R599" s="3"/>
      <c r="S599" s="3"/>
    </row>
    <row r="600" spans="1:19" ht="51.75" x14ac:dyDescent="0.25">
      <c r="A600" s="1">
        <v>40880</v>
      </c>
      <c r="B600" s="1">
        <v>40880</v>
      </c>
      <c r="C600" s="2">
        <f t="shared" si="9"/>
        <v>1</v>
      </c>
      <c r="D600" s="6" t="s">
        <v>1749</v>
      </c>
      <c r="E600" s="3" t="s">
        <v>2379</v>
      </c>
      <c r="F600" s="4" t="s">
        <v>58</v>
      </c>
      <c r="G600" s="3" t="s">
        <v>1185</v>
      </c>
      <c r="H600" s="3" t="s">
        <v>2380</v>
      </c>
      <c r="I600" s="3" t="s">
        <v>1187</v>
      </c>
      <c r="J600" s="3" t="s">
        <v>61</v>
      </c>
      <c r="K600" s="3"/>
      <c r="L600" s="3"/>
      <c r="M600" s="3"/>
      <c r="N600" s="3"/>
      <c r="O600" s="3"/>
      <c r="P600" s="3"/>
      <c r="Q600" s="3"/>
      <c r="R600" s="3"/>
      <c r="S600" s="3"/>
    </row>
    <row r="601" spans="1:19" ht="39" x14ac:dyDescent="0.25">
      <c r="A601" s="1">
        <v>40880</v>
      </c>
      <c r="B601" s="1">
        <v>40880</v>
      </c>
      <c r="C601" s="2">
        <f t="shared" si="9"/>
        <v>1</v>
      </c>
      <c r="D601" s="6" t="s">
        <v>2382</v>
      </c>
      <c r="E601" s="3" t="s">
        <v>2383</v>
      </c>
      <c r="F601" s="4" t="s">
        <v>58</v>
      </c>
      <c r="G601" s="3" t="s">
        <v>529</v>
      </c>
      <c r="H601" s="3"/>
      <c r="I601" s="3" t="s">
        <v>77</v>
      </c>
      <c r="J601" s="3" t="s">
        <v>61</v>
      </c>
      <c r="K601" s="3"/>
      <c r="L601" s="3"/>
      <c r="M601" s="3"/>
      <c r="N601" s="3"/>
      <c r="O601" s="3"/>
      <c r="P601" s="3"/>
      <c r="Q601" s="3"/>
      <c r="R601" s="3"/>
      <c r="S601" s="3"/>
    </row>
    <row r="602" spans="1:19" ht="26.25" x14ac:dyDescent="0.25">
      <c r="A602" s="1">
        <v>40880</v>
      </c>
      <c r="B602" s="1">
        <v>40880</v>
      </c>
      <c r="C602" s="2">
        <f t="shared" si="9"/>
        <v>1</v>
      </c>
      <c r="D602" s="6" t="s">
        <v>2386</v>
      </c>
      <c r="E602" s="3" t="s">
        <v>2387</v>
      </c>
      <c r="F602" s="4" t="s">
        <v>58</v>
      </c>
      <c r="G602" s="3" t="s">
        <v>2388</v>
      </c>
      <c r="H602" s="3" t="s">
        <v>2389</v>
      </c>
      <c r="I602" s="3" t="s">
        <v>1938</v>
      </c>
      <c r="J602" s="3" t="s">
        <v>61</v>
      </c>
      <c r="K602" s="3"/>
      <c r="L602" s="3"/>
      <c r="M602" s="3"/>
      <c r="N602" s="3"/>
      <c r="O602" s="3"/>
      <c r="P602" s="3"/>
      <c r="Q602" s="3"/>
      <c r="R602" s="3"/>
      <c r="S602" s="3"/>
    </row>
    <row r="603" spans="1:19" ht="39" x14ac:dyDescent="0.25">
      <c r="A603" s="1">
        <v>40880</v>
      </c>
      <c r="B603" s="1">
        <v>40880</v>
      </c>
      <c r="C603" s="2">
        <f t="shared" si="9"/>
        <v>1</v>
      </c>
      <c r="D603" s="6" t="s">
        <v>2390</v>
      </c>
      <c r="E603" s="3" t="s">
        <v>2391</v>
      </c>
      <c r="F603" s="4" t="s">
        <v>58</v>
      </c>
      <c r="G603" s="3" t="s">
        <v>2392</v>
      </c>
      <c r="H603" s="3" t="s">
        <v>2393</v>
      </c>
      <c r="I603" s="3" t="s">
        <v>530</v>
      </c>
      <c r="J603" s="3" t="s">
        <v>61</v>
      </c>
      <c r="K603" s="3"/>
      <c r="L603" s="3"/>
      <c r="M603" s="3"/>
      <c r="N603" s="3"/>
      <c r="O603" s="3"/>
      <c r="P603" s="3"/>
      <c r="Q603" s="3"/>
      <c r="R603" s="3"/>
      <c r="S603" s="3"/>
    </row>
    <row r="604" spans="1:19" ht="39" x14ac:dyDescent="0.25">
      <c r="A604" s="1">
        <v>40880</v>
      </c>
      <c r="B604" s="1">
        <v>40880</v>
      </c>
      <c r="C604" s="2">
        <f t="shared" si="9"/>
        <v>1</v>
      </c>
      <c r="D604" s="6" t="s">
        <v>2399</v>
      </c>
      <c r="E604" s="3" t="s">
        <v>2400</v>
      </c>
      <c r="F604" s="4" t="s">
        <v>58</v>
      </c>
      <c r="G604" s="3" t="s">
        <v>2401</v>
      </c>
      <c r="H604" s="3" t="s">
        <v>2402</v>
      </c>
      <c r="I604" s="3" t="s">
        <v>589</v>
      </c>
      <c r="J604" s="3" t="s">
        <v>61</v>
      </c>
      <c r="K604" s="3"/>
      <c r="L604" s="3"/>
      <c r="M604" s="3"/>
      <c r="N604" s="3"/>
      <c r="O604" s="3"/>
      <c r="P604" s="3"/>
      <c r="Q604" s="3"/>
      <c r="R604" s="3"/>
      <c r="S604" s="3"/>
    </row>
    <row r="605" spans="1:19" ht="26.25" x14ac:dyDescent="0.25">
      <c r="A605" s="1">
        <v>40880</v>
      </c>
      <c r="B605" s="1">
        <v>40880</v>
      </c>
      <c r="C605" s="2">
        <f t="shared" si="9"/>
        <v>1</v>
      </c>
      <c r="D605" s="6" t="s">
        <v>2404</v>
      </c>
      <c r="E605" s="3" t="s">
        <v>2405</v>
      </c>
      <c r="F605" s="4" t="s">
        <v>58</v>
      </c>
      <c r="G605" s="3" t="s">
        <v>1806</v>
      </c>
      <c r="H605" s="3"/>
      <c r="I605" s="3" t="s">
        <v>927</v>
      </c>
      <c r="J605" s="3" t="s">
        <v>61</v>
      </c>
      <c r="K605" s="3"/>
      <c r="L605" s="3"/>
      <c r="M605" s="3"/>
      <c r="N605" s="3"/>
      <c r="O605" s="3"/>
      <c r="P605" s="3"/>
      <c r="Q605" s="3"/>
      <c r="R605" s="3"/>
      <c r="S605" s="3"/>
    </row>
    <row r="606" spans="1:19" ht="51.75" x14ac:dyDescent="0.25">
      <c r="A606" s="1">
        <v>40880</v>
      </c>
      <c r="B606" s="1">
        <v>40880</v>
      </c>
      <c r="C606" s="2">
        <f t="shared" si="9"/>
        <v>1</v>
      </c>
      <c r="D606" s="6" t="s">
        <v>2407</v>
      </c>
      <c r="E606" s="3" t="s">
        <v>2408</v>
      </c>
      <c r="F606" s="4" t="s">
        <v>58</v>
      </c>
      <c r="G606" s="3" t="s">
        <v>2409</v>
      </c>
      <c r="H606" s="3" t="s">
        <v>215</v>
      </c>
      <c r="I606" s="3" t="s">
        <v>105</v>
      </c>
      <c r="J606" s="3" t="s">
        <v>61</v>
      </c>
      <c r="K606" s="3"/>
      <c r="L606" s="3"/>
      <c r="M606" s="3"/>
      <c r="N606" s="3"/>
      <c r="O606" s="3"/>
      <c r="P606" s="3"/>
      <c r="Q606" s="3"/>
      <c r="R606" s="3"/>
      <c r="S606" s="3"/>
    </row>
    <row r="607" spans="1:19" ht="51.75" x14ac:dyDescent="0.25">
      <c r="A607" s="1">
        <v>40880</v>
      </c>
      <c r="B607" s="1">
        <v>40880</v>
      </c>
      <c r="C607" s="2">
        <f t="shared" si="9"/>
        <v>1</v>
      </c>
      <c r="D607" s="6" t="s">
        <v>2412</v>
      </c>
      <c r="E607" s="3" t="s">
        <v>2413</v>
      </c>
      <c r="F607" s="4" t="s">
        <v>58</v>
      </c>
      <c r="G607" s="3" t="s">
        <v>2414</v>
      </c>
      <c r="H607" s="3" t="s">
        <v>2415</v>
      </c>
      <c r="I607" s="3" t="s">
        <v>227</v>
      </c>
      <c r="J607" s="3" t="s">
        <v>61</v>
      </c>
      <c r="K607" s="3"/>
      <c r="L607" s="3"/>
      <c r="M607" s="3"/>
      <c r="N607" s="3"/>
      <c r="O607" s="3"/>
      <c r="P607" s="3"/>
      <c r="Q607" s="3"/>
      <c r="R607" s="3"/>
      <c r="S607" s="3"/>
    </row>
    <row r="608" spans="1:19" ht="26.25" x14ac:dyDescent="0.25">
      <c r="A608" s="1">
        <v>40880</v>
      </c>
      <c r="B608" s="1">
        <v>40880</v>
      </c>
      <c r="C608" s="2">
        <f t="shared" si="9"/>
        <v>1</v>
      </c>
      <c r="D608" s="6" t="s">
        <v>2417</v>
      </c>
      <c r="E608" s="3" t="s">
        <v>2418</v>
      </c>
      <c r="F608" s="4" t="s">
        <v>58</v>
      </c>
      <c r="G608" s="3" t="s">
        <v>2141</v>
      </c>
      <c r="H608" s="3"/>
      <c r="I608" s="3" t="s">
        <v>105</v>
      </c>
      <c r="J608" s="3" t="s">
        <v>61</v>
      </c>
      <c r="K608" s="3"/>
      <c r="L608" s="3"/>
      <c r="M608" s="3"/>
      <c r="N608" s="3"/>
      <c r="O608" s="3"/>
      <c r="P608" s="3"/>
      <c r="Q608" s="3"/>
      <c r="R608" s="3"/>
      <c r="S608" s="3"/>
    </row>
    <row r="609" spans="1:19" ht="90" x14ac:dyDescent="0.25">
      <c r="A609" s="1">
        <v>40880</v>
      </c>
      <c r="B609" s="1">
        <v>40880</v>
      </c>
      <c r="C609" s="2">
        <f t="shared" si="9"/>
        <v>1</v>
      </c>
      <c r="D609" s="6" t="s">
        <v>2421</v>
      </c>
      <c r="E609" s="3" t="s">
        <v>2422</v>
      </c>
      <c r="F609" s="4" t="s">
        <v>58</v>
      </c>
      <c r="G609" s="3" t="s">
        <v>2423</v>
      </c>
      <c r="H609" s="3"/>
      <c r="I609" s="3" t="s">
        <v>993</v>
      </c>
      <c r="J609" s="3" t="s">
        <v>61</v>
      </c>
      <c r="K609" s="3"/>
      <c r="L609" s="3"/>
      <c r="M609" s="3"/>
      <c r="N609" s="3"/>
      <c r="O609" s="3"/>
      <c r="P609" s="3"/>
      <c r="Q609" s="3"/>
      <c r="R609" s="3"/>
      <c r="S609" s="3"/>
    </row>
    <row r="610" spans="1:19" ht="26.25" x14ac:dyDescent="0.25">
      <c r="A610" s="1">
        <v>40880</v>
      </c>
      <c r="B610" s="1">
        <v>40880</v>
      </c>
      <c r="C610" s="2">
        <f t="shared" si="9"/>
        <v>1</v>
      </c>
      <c r="D610" s="6" t="s">
        <v>2427</v>
      </c>
      <c r="E610" s="3" t="s">
        <v>2428</v>
      </c>
      <c r="F610" s="4" t="s">
        <v>58</v>
      </c>
      <c r="G610" s="3" t="s">
        <v>2429</v>
      </c>
      <c r="H610" s="3" t="s">
        <v>2430</v>
      </c>
      <c r="I610" s="3" t="s">
        <v>245</v>
      </c>
      <c r="J610" s="3" t="s">
        <v>61</v>
      </c>
      <c r="K610" s="3"/>
      <c r="L610" s="3"/>
      <c r="M610" s="3"/>
      <c r="N610" s="3"/>
      <c r="O610" s="3"/>
      <c r="P610" s="3"/>
      <c r="Q610" s="3"/>
      <c r="R610" s="3"/>
      <c r="S610" s="3"/>
    </row>
    <row r="611" spans="1:19" ht="51.75" x14ac:dyDescent="0.25">
      <c r="A611" s="1">
        <v>40880</v>
      </c>
      <c r="B611" s="1">
        <v>40880</v>
      </c>
      <c r="C611" s="2">
        <f t="shared" si="9"/>
        <v>1</v>
      </c>
      <c r="D611" s="6" t="s">
        <v>2434</v>
      </c>
      <c r="E611" s="3" t="s">
        <v>2435</v>
      </c>
      <c r="F611" s="4" t="s">
        <v>58</v>
      </c>
      <c r="G611" s="3" t="s">
        <v>777</v>
      </c>
      <c r="H611" s="3" t="s">
        <v>321</v>
      </c>
      <c r="I611" s="3" t="s">
        <v>227</v>
      </c>
      <c r="J611" s="3" t="s">
        <v>61</v>
      </c>
      <c r="K611" s="3"/>
      <c r="L611" s="3"/>
      <c r="M611" s="3"/>
      <c r="N611" s="3"/>
      <c r="O611" s="3"/>
      <c r="P611" s="3"/>
      <c r="Q611" s="3"/>
      <c r="R611" s="3"/>
      <c r="S611" s="3"/>
    </row>
    <row r="612" spans="1:19" ht="51.75" x14ac:dyDescent="0.25">
      <c r="A612" s="1">
        <v>40880</v>
      </c>
      <c r="B612" s="1">
        <v>40880</v>
      </c>
      <c r="C612" s="2">
        <f t="shared" si="9"/>
        <v>1</v>
      </c>
      <c r="D612" s="6" t="s">
        <v>2437</v>
      </c>
      <c r="E612" s="3" t="s">
        <v>2438</v>
      </c>
      <c r="F612" s="4" t="s">
        <v>58</v>
      </c>
      <c r="G612" s="3" t="s">
        <v>197</v>
      </c>
      <c r="H612" s="3"/>
      <c r="I612" s="3" t="s">
        <v>199</v>
      </c>
      <c r="J612" s="3" t="s">
        <v>61</v>
      </c>
      <c r="K612" s="3"/>
      <c r="L612" s="3"/>
      <c r="M612" s="3"/>
      <c r="N612" s="3"/>
      <c r="O612" s="3"/>
      <c r="P612" s="3"/>
      <c r="Q612" s="3"/>
      <c r="R612" s="3"/>
      <c r="S612" s="3"/>
    </row>
    <row r="613" spans="1:19" ht="51.75" x14ac:dyDescent="0.25">
      <c r="A613" s="1">
        <v>40880</v>
      </c>
      <c r="B613" s="1">
        <v>40880</v>
      </c>
      <c r="C613" s="2">
        <f t="shared" si="9"/>
        <v>1</v>
      </c>
      <c r="D613" s="6" t="s">
        <v>2439</v>
      </c>
      <c r="E613" s="3" t="s">
        <v>2440</v>
      </c>
      <c r="F613" s="4" t="s">
        <v>58</v>
      </c>
      <c r="G613" s="3" t="s">
        <v>1751</v>
      </c>
      <c r="H613" s="3" t="s">
        <v>2441</v>
      </c>
      <c r="I613" s="3" t="s">
        <v>963</v>
      </c>
      <c r="J613" s="3" t="s">
        <v>61</v>
      </c>
      <c r="K613" s="3"/>
      <c r="L613" s="3"/>
      <c r="M613" s="3"/>
      <c r="N613" s="3"/>
      <c r="O613" s="3"/>
      <c r="P613" s="3"/>
      <c r="Q613" s="3"/>
      <c r="R613" s="3"/>
      <c r="S613" s="3"/>
    </row>
    <row r="614" spans="1:19" ht="51.75" x14ac:dyDescent="0.25">
      <c r="A614" s="1">
        <v>40880</v>
      </c>
      <c r="B614" s="1">
        <v>40880</v>
      </c>
      <c r="C614" s="2">
        <f t="shared" si="9"/>
        <v>1</v>
      </c>
      <c r="D614" s="6" t="s">
        <v>2442</v>
      </c>
      <c r="E614" s="3" t="s">
        <v>2443</v>
      </c>
      <c r="F614" s="4" t="s">
        <v>58</v>
      </c>
      <c r="G614" s="3" t="s">
        <v>1627</v>
      </c>
      <c r="H614" s="3" t="s">
        <v>1628</v>
      </c>
      <c r="I614" s="3" t="s">
        <v>227</v>
      </c>
      <c r="J614" s="3" t="s">
        <v>61</v>
      </c>
      <c r="K614" s="3"/>
      <c r="L614" s="3"/>
      <c r="M614" s="3"/>
      <c r="N614" s="3"/>
      <c r="O614" s="3"/>
      <c r="P614" s="3"/>
      <c r="Q614" s="3"/>
      <c r="R614" s="3"/>
      <c r="S614" s="3"/>
    </row>
    <row r="615" spans="1:19" ht="51.75" x14ac:dyDescent="0.25">
      <c r="A615" s="1">
        <v>40880</v>
      </c>
      <c r="B615" s="1">
        <v>40880</v>
      </c>
      <c r="C615" s="2">
        <f t="shared" si="9"/>
        <v>1</v>
      </c>
      <c r="D615" s="6" t="s">
        <v>2444</v>
      </c>
      <c r="E615" s="3" t="s">
        <v>2445</v>
      </c>
      <c r="F615" s="4" t="s">
        <v>58</v>
      </c>
      <c r="G615" s="3" t="s">
        <v>2446</v>
      </c>
      <c r="H615" s="3"/>
      <c r="I615" s="3" t="s">
        <v>978</v>
      </c>
      <c r="J615" s="3" t="s">
        <v>61</v>
      </c>
      <c r="K615" s="3"/>
      <c r="L615" s="3"/>
      <c r="M615" s="3"/>
      <c r="N615" s="3"/>
      <c r="O615" s="3"/>
      <c r="P615" s="3"/>
      <c r="Q615" s="3"/>
      <c r="R615" s="3"/>
      <c r="S615" s="3"/>
    </row>
    <row r="616" spans="1:19" ht="26.25" x14ac:dyDescent="0.25">
      <c r="A616" s="1">
        <v>40880</v>
      </c>
      <c r="B616" s="1">
        <v>40880</v>
      </c>
      <c r="C616" s="2">
        <f t="shared" si="9"/>
        <v>1</v>
      </c>
      <c r="D616" s="6" t="s">
        <v>2448</v>
      </c>
      <c r="E616" s="3" t="s">
        <v>2449</v>
      </c>
      <c r="F616" s="4" t="s">
        <v>58</v>
      </c>
      <c r="G616" s="3" t="s">
        <v>2200</v>
      </c>
      <c r="H616" s="3" t="s">
        <v>2201</v>
      </c>
      <c r="I616" s="3" t="s">
        <v>85</v>
      </c>
      <c r="J616" s="3" t="s">
        <v>61</v>
      </c>
      <c r="K616" s="3"/>
      <c r="L616" s="3"/>
      <c r="M616" s="3"/>
      <c r="N616" s="3"/>
      <c r="O616" s="3"/>
      <c r="P616" s="3"/>
      <c r="Q616" s="3"/>
      <c r="R616" s="3"/>
      <c r="S616" s="3"/>
    </row>
    <row r="617" spans="1:19" x14ac:dyDescent="0.25">
      <c r="A617" s="1">
        <v>40880</v>
      </c>
      <c r="B617" s="1">
        <v>40880</v>
      </c>
      <c r="C617" s="2">
        <f t="shared" si="9"/>
        <v>1</v>
      </c>
      <c r="D617" s="6" t="s">
        <v>2450</v>
      </c>
      <c r="E617" s="3" t="s">
        <v>2451</v>
      </c>
      <c r="F617" s="4" t="s">
        <v>58</v>
      </c>
      <c r="G617" s="3" t="s">
        <v>1421</v>
      </c>
      <c r="H617" s="3"/>
      <c r="I617" s="3" t="s">
        <v>518</v>
      </c>
      <c r="J617" s="3" t="s">
        <v>61</v>
      </c>
      <c r="K617" s="3"/>
      <c r="L617" s="3"/>
      <c r="M617" s="3"/>
      <c r="N617" s="3"/>
      <c r="O617" s="3"/>
      <c r="P617" s="3"/>
      <c r="Q617" s="3"/>
      <c r="R617" s="3"/>
      <c r="S617" s="3"/>
    </row>
    <row r="618" spans="1:19" ht="39" x14ac:dyDescent="0.25">
      <c r="A618" s="1">
        <v>40880</v>
      </c>
      <c r="B618" s="1">
        <v>40880</v>
      </c>
      <c r="C618" s="2">
        <f t="shared" si="9"/>
        <v>1</v>
      </c>
      <c r="D618" s="6" t="s">
        <v>2452</v>
      </c>
      <c r="E618" s="3" t="s">
        <v>2453</v>
      </c>
      <c r="F618" s="4" t="s">
        <v>58</v>
      </c>
      <c r="G618" s="3" t="s">
        <v>2454</v>
      </c>
      <c r="H618" s="3"/>
      <c r="I618" s="3" t="s">
        <v>978</v>
      </c>
      <c r="J618" s="3" t="s">
        <v>61</v>
      </c>
      <c r="K618" s="3"/>
      <c r="L618" s="3"/>
      <c r="M618" s="3"/>
      <c r="N618" s="3"/>
      <c r="O618" s="3"/>
      <c r="P618" s="3"/>
      <c r="Q618" s="3"/>
      <c r="R618" s="3"/>
      <c r="S618" s="3"/>
    </row>
    <row r="619" spans="1:19" ht="51.75" x14ac:dyDescent="0.25">
      <c r="A619" s="1">
        <v>40881</v>
      </c>
      <c r="B619" s="1">
        <v>40881</v>
      </c>
      <c r="C619" s="2">
        <f t="shared" si="9"/>
        <v>1</v>
      </c>
      <c r="D619" s="6" t="s">
        <v>2488</v>
      </c>
      <c r="E619" s="3" t="s">
        <v>2489</v>
      </c>
      <c r="F619" s="4" t="s">
        <v>58</v>
      </c>
      <c r="G619" s="3" t="s">
        <v>2490</v>
      </c>
      <c r="H619" s="3"/>
      <c r="I619" s="3" t="s">
        <v>2226</v>
      </c>
      <c r="J619" s="3" t="s">
        <v>61</v>
      </c>
      <c r="K619" s="3"/>
      <c r="L619" s="3"/>
      <c r="M619" s="3"/>
      <c r="N619" s="3"/>
      <c r="O619" s="3"/>
      <c r="P619" s="3"/>
      <c r="Q619" s="3"/>
      <c r="R619" s="3"/>
      <c r="S619" s="3"/>
    </row>
    <row r="620" spans="1:19" ht="26.25" x14ac:dyDescent="0.25">
      <c r="A620" s="1">
        <v>40881</v>
      </c>
      <c r="B620" s="1">
        <v>40881</v>
      </c>
      <c r="C620" s="2">
        <f t="shared" si="9"/>
        <v>1</v>
      </c>
      <c r="D620" s="6" t="s">
        <v>2492</v>
      </c>
      <c r="E620" s="3" t="s">
        <v>2493</v>
      </c>
      <c r="F620" s="4" t="s">
        <v>58</v>
      </c>
      <c r="G620" s="3" t="s">
        <v>1348</v>
      </c>
      <c r="H620" s="3" t="s">
        <v>2494</v>
      </c>
      <c r="I620" s="3" t="s">
        <v>105</v>
      </c>
      <c r="J620" s="3" t="s">
        <v>61</v>
      </c>
      <c r="K620" s="3"/>
      <c r="L620" s="3"/>
      <c r="M620" s="3"/>
      <c r="N620" s="3"/>
      <c r="O620" s="3"/>
      <c r="P620" s="3"/>
      <c r="Q620" s="3"/>
      <c r="R620" s="3"/>
      <c r="S620" s="3"/>
    </row>
    <row r="621" spans="1:19" ht="26.25" x14ac:dyDescent="0.25">
      <c r="A621" s="1">
        <v>40881</v>
      </c>
      <c r="B621" s="1">
        <v>40881</v>
      </c>
      <c r="C621" s="2">
        <f t="shared" si="9"/>
        <v>1</v>
      </c>
      <c r="D621" s="6" t="s">
        <v>2496</v>
      </c>
      <c r="E621" s="3" t="s">
        <v>2497</v>
      </c>
      <c r="F621" s="4" t="s">
        <v>58</v>
      </c>
      <c r="G621" s="3" t="s">
        <v>1348</v>
      </c>
      <c r="H621" s="3" t="s">
        <v>2494</v>
      </c>
      <c r="I621" s="3" t="s">
        <v>105</v>
      </c>
      <c r="J621" s="3" t="s">
        <v>61</v>
      </c>
      <c r="K621" s="3"/>
      <c r="L621" s="3"/>
      <c r="M621" s="3"/>
      <c r="N621" s="3"/>
      <c r="O621" s="3"/>
      <c r="P621" s="3"/>
      <c r="Q621" s="3"/>
      <c r="R621" s="3"/>
      <c r="S621" s="3"/>
    </row>
    <row r="622" spans="1:19" ht="39" x14ac:dyDescent="0.25">
      <c r="A622" s="1">
        <v>40881</v>
      </c>
      <c r="B622" s="1">
        <v>40881</v>
      </c>
      <c r="C622" s="2">
        <f t="shared" si="9"/>
        <v>1</v>
      </c>
      <c r="D622" s="6" t="s">
        <v>2498</v>
      </c>
      <c r="E622" s="3" t="s">
        <v>2499</v>
      </c>
      <c r="F622" s="4" t="s">
        <v>58</v>
      </c>
      <c r="G622" s="3" t="s">
        <v>538</v>
      </c>
      <c r="H622" s="3"/>
      <c r="I622" s="3" t="s">
        <v>227</v>
      </c>
      <c r="J622" s="3" t="s">
        <v>61</v>
      </c>
      <c r="K622" s="3"/>
      <c r="L622" s="3"/>
      <c r="M622" s="3"/>
      <c r="N622" s="3"/>
      <c r="O622" s="3"/>
      <c r="P622" s="3"/>
      <c r="Q622" s="3"/>
      <c r="R622" s="3"/>
      <c r="S622" s="3"/>
    </row>
    <row r="623" spans="1:19" ht="26.25" x14ac:dyDescent="0.25">
      <c r="A623" s="1">
        <v>40881</v>
      </c>
      <c r="B623" s="1">
        <v>40881</v>
      </c>
      <c r="C623" s="2">
        <f t="shared" si="9"/>
        <v>1</v>
      </c>
      <c r="D623" s="6" t="s">
        <v>2500</v>
      </c>
      <c r="E623" s="3" t="s">
        <v>2501</v>
      </c>
      <c r="F623" s="4" t="s">
        <v>58</v>
      </c>
      <c r="G623" s="3" t="s">
        <v>2502</v>
      </c>
      <c r="H623" s="3"/>
      <c r="I623" s="3" t="s">
        <v>2503</v>
      </c>
      <c r="J623" s="3" t="s">
        <v>61</v>
      </c>
      <c r="K623" s="3"/>
      <c r="L623" s="3"/>
      <c r="M623" s="3"/>
      <c r="N623" s="3"/>
      <c r="O623" s="3"/>
      <c r="P623" s="3"/>
      <c r="Q623" s="3"/>
      <c r="R623" s="3"/>
      <c r="S623" s="3"/>
    </row>
    <row r="624" spans="1:19" ht="51.75" x14ac:dyDescent="0.25">
      <c r="A624" s="1">
        <v>40881</v>
      </c>
      <c r="B624" s="1">
        <v>40881</v>
      </c>
      <c r="C624" s="2">
        <f t="shared" si="9"/>
        <v>1</v>
      </c>
      <c r="D624" s="6" t="s">
        <v>2506</v>
      </c>
      <c r="E624" s="3" t="s">
        <v>2507</v>
      </c>
      <c r="F624" s="4" t="s">
        <v>58</v>
      </c>
      <c r="G624" s="3" t="s">
        <v>2508</v>
      </c>
      <c r="H624" s="3" t="s">
        <v>2509</v>
      </c>
      <c r="I624" s="3" t="s">
        <v>179</v>
      </c>
      <c r="J624" s="3" t="s">
        <v>61</v>
      </c>
      <c r="K624" s="3"/>
      <c r="L624" s="3"/>
      <c r="M624" s="3"/>
      <c r="N624" s="3"/>
      <c r="O624" s="3"/>
      <c r="P624" s="3"/>
      <c r="Q624" s="3"/>
      <c r="R624" s="3"/>
      <c r="S624" s="3"/>
    </row>
    <row r="625" spans="1:19" ht="39" x14ac:dyDescent="0.25">
      <c r="A625" s="1">
        <v>40881</v>
      </c>
      <c r="B625" s="1">
        <v>40881</v>
      </c>
      <c r="C625" s="2">
        <f t="shared" si="9"/>
        <v>1</v>
      </c>
      <c r="D625" s="6" t="s">
        <v>2510</v>
      </c>
      <c r="E625" s="3" t="s">
        <v>2511</v>
      </c>
      <c r="F625" s="4" t="s">
        <v>58</v>
      </c>
      <c r="G625" s="3" t="s">
        <v>2512</v>
      </c>
      <c r="H625" s="3"/>
      <c r="I625" s="3" t="s">
        <v>105</v>
      </c>
      <c r="J625" s="3" t="s">
        <v>61</v>
      </c>
      <c r="K625" s="3"/>
      <c r="L625" s="3"/>
      <c r="M625" s="3"/>
      <c r="N625" s="3"/>
      <c r="O625" s="3"/>
      <c r="P625" s="3"/>
      <c r="Q625" s="3"/>
      <c r="R625" s="3"/>
      <c r="S625" s="3"/>
    </row>
    <row r="626" spans="1:19" ht="39" x14ac:dyDescent="0.25">
      <c r="A626" s="1">
        <v>40881</v>
      </c>
      <c r="B626" s="1">
        <v>40881</v>
      </c>
      <c r="C626" s="2">
        <f t="shared" si="9"/>
        <v>1</v>
      </c>
      <c r="D626" s="6" t="s">
        <v>2510</v>
      </c>
      <c r="E626" s="3" t="s">
        <v>2514</v>
      </c>
      <c r="F626" s="4" t="s">
        <v>58</v>
      </c>
      <c r="G626" s="3" t="s">
        <v>2515</v>
      </c>
      <c r="H626" s="3" t="s">
        <v>2516</v>
      </c>
      <c r="I626" s="3" t="s">
        <v>888</v>
      </c>
      <c r="J626" s="3" t="s">
        <v>61</v>
      </c>
      <c r="K626" s="3"/>
      <c r="L626" s="3"/>
      <c r="M626" s="3"/>
      <c r="N626" s="3"/>
      <c r="O626" s="3"/>
      <c r="P626" s="3"/>
      <c r="Q626" s="3"/>
      <c r="R626" s="3"/>
      <c r="S626" s="3"/>
    </row>
    <row r="627" spans="1:19" ht="64.5" x14ac:dyDescent="0.25">
      <c r="A627" s="1">
        <v>40881</v>
      </c>
      <c r="B627" s="1">
        <v>40881</v>
      </c>
      <c r="C627" s="2">
        <f t="shared" si="9"/>
        <v>1</v>
      </c>
      <c r="D627" s="6" t="s">
        <v>2427</v>
      </c>
      <c r="E627" s="3" t="s">
        <v>2518</v>
      </c>
      <c r="F627" s="4" t="s">
        <v>58</v>
      </c>
      <c r="G627" s="3" t="s">
        <v>752</v>
      </c>
      <c r="H627" s="3" t="s">
        <v>2519</v>
      </c>
      <c r="I627" s="3" t="s">
        <v>193</v>
      </c>
      <c r="J627" s="3" t="s">
        <v>61</v>
      </c>
      <c r="K627" s="3"/>
      <c r="L627" s="3"/>
      <c r="M627" s="3"/>
      <c r="N627" s="3"/>
      <c r="O627" s="3"/>
      <c r="P627" s="3"/>
      <c r="Q627" s="3"/>
      <c r="R627" s="3"/>
      <c r="S627" s="3"/>
    </row>
    <row r="628" spans="1:19" ht="26.25" x14ac:dyDescent="0.25">
      <c r="A628" s="1">
        <v>40881</v>
      </c>
      <c r="B628" s="1">
        <v>40881</v>
      </c>
      <c r="C628" s="2">
        <f t="shared" si="9"/>
        <v>1</v>
      </c>
      <c r="D628" s="6" t="s">
        <v>2520</v>
      </c>
      <c r="E628" s="3" t="s">
        <v>2521</v>
      </c>
      <c r="F628" s="4" t="s">
        <v>58</v>
      </c>
      <c r="G628" s="3" t="s">
        <v>737</v>
      </c>
      <c r="H628" s="3" t="s">
        <v>2522</v>
      </c>
      <c r="I628" s="3" t="s">
        <v>60</v>
      </c>
      <c r="J628" s="3" t="s">
        <v>61</v>
      </c>
      <c r="K628" s="3"/>
      <c r="L628" s="3"/>
      <c r="M628" s="3"/>
      <c r="N628" s="3"/>
      <c r="O628" s="3"/>
      <c r="P628" s="3"/>
      <c r="Q628" s="3"/>
      <c r="R628" s="3"/>
      <c r="S628" s="3"/>
    </row>
    <row r="629" spans="1:19" ht="39" x14ac:dyDescent="0.25">
      <c r="A629" s="1">
        <v>40881</v>
      </c>
      <c r="B629" s="1">
        <v>40881</v>
      </c>
      <c r="C629" s="2">
        <f t="shared" si="9"/>
        <v>1</v>
      </c>
      <c r="D629" s="6" t="s">
        <v>2525</v>
      </c>
      <c r="E629" s="3" t="s">
        <v>2526</v>
      </c>
      <c r="F629" s="4" t="s">
        <v>58</v>
      </c>
      <c r="G629" s="3" t="s">
        <v>2527</v>
      </c>
      <c r="H629" s="3"/>
      <c r="I629" s="3" t="s">
        <v>558</v>
      </c>
      <c r="J629" s="3" t="s">
        <v>61</v>
      </c>
      <c r="K629" s="3"/>
      <c r="L629" s="3"/>
      <c r="M629" s="3"/>
      <c r="N629" s="3"/>
      <c r="O629" s="3"/>
      <c r="P629" s="3"/>
      <c r="Q629" s="3"/>
      <c r="R629" s="3"/>
      <c r="S629" s="3"/>
    </row>
    <row r="630" spans="1:19" ht="26.25" x14ac:dyDescent="0.25">
      <c r="A630" s="1">
        <v>40881</v>
      </c>
      <c r="B630" s="1">
        <v>40881</v>
      </c>
      <c r="C630" s="2">
        <f t="shared" si="9"/>
        <v>1</v>
      </c>
      <c r="D630" s="6" t="s">
        <v>2530</v>
      </c>
      <c r="E630" s="3" t="s">
        <v>2531</v>
      </c>
      <c r="F630" s="4" t="s">
        <v>58</v>
      </c>
      <c r="G630" s="3" t="s">
        <v>1881</v>
      </c>
      <c r="H630" s="3" t="s">
        <v>1882</v>
      </c>
      <c r="I630" s="3" t="s">
        <v>60</v>
      </c>
      <c r="J630" s="3" t="s">
        <v>61</v>
      </c>
      <c r="K630" s="3"/>
      <c r="L630" s="3"/>
      <c r="M630" s="3"/>
      <c r="N630" s="3"/>
      <c r="O630" s="3"/>
      <c r="P630" s="3"/>
      <c r="Q630" s="3"/>
      <c r="R630" s="3"/>
      <c r="S630" s="3"/>
    </row>
    <row r="631" spans="1:19" ht="26.25" x14ac:dyDescent="0.25">
      <c r="A631" s="1">
        <v>40881</v>
      </c>
      <c r="B631" s="1">
        <v>40881</v>
      </c>
      <c r="C631" s="2">
        <f t="shared" si="9"/>
        <v>1</v>
      </c>
      <c r="D631" s="6" t="s">
        <v>2533</v>
      </c>
      <c r="E631" s="3" t="s">
        <v>2534</v>
      </c>
      <c r="F631" s="4" t="s">
        <v>58</v>
      </c>
      <c r="G631" s="3" t="s">
        <v>2535</v>
      </c>
      <c r="H631" s="3" t="s">
        <v>2494</v>
      </c>
      <c r="I631" s="3" t="s">
        <v>105</v>
      </c>
      <c r="J631" s="3" t="s">
        <v>61</v>
      </c>
      <c r="K631" s="3"/>
      <c r="L631" s="3"/>
      <c r="M631" s="3"/>
      <c r="N631" s="3"/>
      <c r="O631" s="3"/>
      <c r="P631" s="3"/>
      <c r="Q631" s="3"/>
      <c r="R631" s="3"/>
      <c r="S631" s="3"/>
    </row>
    <row r="632" spans="1:19" ht="51.75" x14ac:dyDescent="0.25">
      <c r="A632" s="1">
        <v>40882</v>
      </c>
      <c r="B632" s="1">
        <v>40882</v>
      </c>
      <c r="C632" s="2">
        <f t="shared" si="9"/>
        <v>1</v>
      </c>
      <c r="D632" s="6" t="s">
        <v>2536</v>
      </c>
      <c r="E632" s="3" t="s">
        <v>2537</v>
      </c>
      <c r="F632" s="4" t="s">
        <v>58</v>
      </c>
      <c r="G632" s="3" t="s">
        <v>2538</v>
      </c>
      <c r="H632" s="3"/>
      <c r="I632" s="3" t="s">
        <v>365</v>
      </c>
      <c r="J632" s="3" t="s">
        <v>61</v>
      </c>
      <c r="K632" s="3"/>
      <c r="L632" s="3"/>
      <c r="M632" s="3"/>
      <c r="N632" s="3"/>
      <c r="O632" s="3"/>
      <c r="P632" s="3"/>
      <c r="Q632" s="3"/>
      <c r="R632" s="3"/>
      <c r="S632" s="3"/>
    </row>
    <row r="633" spans="1:19" ht="26.25" x14ac:dyDescent="0.25">
      <c r="A633" s="1">
        <v>40884</v>
      </c>
      <c r="B633" s="1">
        <v>40884</v>
      </c>
      <c r="C633" s="2">
        <f t="shared" si="9"/>
        <v>1</v>
      </c>
      <c r="D633" s="6" t="s">
        <v>2540</v>
      </c>
      <c r="E633" s="3" t="s">
        <v>2540</v>
      </c>
      <c r="F633" s="4" t="s">
        <v>58</v>
      </c>
      <c r="G633" s="3" t="s">
        <v>551</v>
      </c>
      <c r="H633" s="3" t="s">
        <v>552</v>
      </c>
      <c r="I633" s="3" t="s">
        <v>60</v>
      </c>
      <c r="J633" s="3" t="s">
        <v>61</v>
      </c>
      <c r="K633" s="3"/>
      <c r="L633" s="3"/>
      <c r="M633" s="3"/>
      <c r="N633" s="3"/>
      <c r="O633" s="3"/>
      <c r="P633" s="3"/>
      <c r="Q633" s="3"/>
      <c r="R633" s="3"/>
      <c r="S633" s="3"/>
    </row>
    <row r="634" spans="1:19" ht="39" x14ac:dyDescent="0.25">
      <c r="A634" s="1">
        <v>40884</v>
      </c>
      <c r="B634" s="1">
        <v>40884</v>
      </c>
      <c r="C634" s="2">
        <f t="shared" si="9"/>
        <v>1</v>
      </c>
      <c r="D634" s="6" t="s">
        <v>2541</v>
      </c>
      <c r="E634" s="3" t="s">
        <v>2542</v>
      </c>
      <c r="F634" s="4" t="s">
        <v>58</v>
      </c>
      <c r="G634" s="3" t="s">
        <v>1127</v>
      </c>
      <c r="H634" s="3" t="s">
        <v>1128</v>
      </c>
      <c r="I634" s="3" t="s">
        <v>303</v>
      </c>
      <c r="J634" s="3" t="s">
        <v>61</v>
      </c>
      <c r="K634" s="3"/>
      <c r="L634" s="3"/>
      <c r="M634" s="3"/>
      <c r="N634" s="3"/>
      <c r="O634" s="3"/>
      <c r="P634" s="3"/>
      <c r="Q634" s="3"/>
      <c r="R634" s="3"/>
      <c r="S634" s="3"/>
    </row>
    <row r="635" spans="1:19" ht="26.25" x14ac:dyDescent="0.25">
      <c r="A635" s="1">
        <v>40885</v>
      </c>
      <c r="B635" s="1">
        <v>40885</v>
      </c>
      <c r="C635" s="2">
        <f t="shared" si="9"/>
        <v>1</v>
      </c>
      <c r="D635" s="6" t="s">
        <v>2545</v>
      </c>
      <c r="E635" s="3" t="s">
        <v>2546</v>
      </c>
      <c r="F635" s="4" t="s">
        <v>58</v>
      </c>
      <c r="G635" s="3" t="s">
        <v>1348</v>
      </c>
      <c r="H635" s="3" t="s">
        <v>2494</v>
      </c>
      <c r="I635" s="3" t="s">
        <v>105</v>
      </c>
      <c r="J635" s="3" t="s">
        <v>61</v>
      </c>
      <c r="K635" s="3"/>
      <c r="L635" s="3"/>
      <c r="M635" s="3"/>
      <c r="N635" s="3"/>
      <c r="O635" s="3"/>
      <c r="P635" s="3"/>
      <c r="Q635" s="3"/>
      <c r="R635" s="3"/>
      <c r="S635" s="3"/>
    </row>
    <row r="636" spans="1:19" ht="26.25" x14ac:dyDescent="0.25">
      <c r="A636" s="1">
        <v>40885</v>
      </c>
      <c r="B636" s="1">
        <v>40885</v>
      </c>
      <c r="C636" s="2">
        <f t="shared" si="9"/>
        <v>1</v>
      </c>
      <c r="D636" s="6" t="s">
        <v>2545</v>
      </c>
      <c r="E636" s="3" t="s">
        <v>2547</v>
      </c>
      <c r="F636" s="4" t="s">
        <v>58</v>
      </c>
      <c r="G636" s="3" t="s">
        <v>2007</v>
      </c>
      <c r="H636" s="3" t="s">
        <v>2535</v>
      </c>
      <c r="I636" s="3" t="s">
        <v>105</v>
      </c>
      <c r="J636" s="3" t="s">
        <v>61</v>
      </c>
      <c r="K636" s="3"/>
      <c r="L636" s="3"/>
      <c r="M636" s="3"/>
      <c r="N636" s="3"/>
      <c r="O636" s="3"/>
      <c r="P636" s="3"/>
      <c r="Q636" s="3"/>
      <c r="R636" s="3"/>
      <c r="S636" s="3"/>
    </row>
    <row r="637" spans="1:19" ht="39" x14ac:dyDescent="0.25">
      <c r="A637" s="1">
        <v>40885</v>
      </c>
      <c r="B637" s="1">
        <v>40885</v>
      </c>
      <c r="C637" s="2">
        <f t="shared" si="9"/>
        <v>1</v>
      </c>
      <c r="D637" s="6" t="s">
        <v>2548</v>
      </c>
      <c r="E637" s="3" t="s">
        <v>2549</v>
      </c>
      <c r="F637" s="4" t="s">
        <v>58</v>
      </c>
      <c r="G637" s="3" t="s">
        <v>1163</v>
      </c>
      <c r="H637" s="3" t="s">
        <v>1164</v>
      </c>
      <c r="I637" s="3" t="s">
        <v>71</v>
      </c>
      <c r="J637" s="3" t="s">
        <v>61</v>
      </c>
      <c r="K637" s="3"/>
      <c r="L637" s="3"/>
      <c r="M637" s="3"/>
      <c r="N637" s="3"/>
      <c r="O637" s="3"/>
      <c r="P637" s="3"/>
      <c r="Q637" s="3"/>
      <c r="R637" s="3"/>
      <c r="S637" s="3"/>
    </row>
    <row r="638" spans="1:19" ht="51.75" x14ac:dyDescent="0.25">
      <c r="A638" s="1">
        <v>40885</v>
      </c>
      <c r="B638" s="1">
        <v>40885</v>
      </c>
      <c r="C638" s="2">
        <f t="shared" si="9"/>
        <v>1</v>
      </c>
      <c r="D638" s="6" t="s">
        <v>2550</v>
      </c>
      <c r="E638" s="3" t="s">
        <v>2551</v>
      </c>
      <c r="F638" s="4" t="s">
        <v>58</v>
      </c>
      <c r="G638" s="3" t="s">
        <v>2552</v>
      </c>
      <c r="H638" s="3" t="s">
        <v>2553</v>
      </c>
      <c r="I638" s="3" t="s">
        <v>422</v>
      </c>
      <c r="J638" s="3" t="s">
        <v>61</v>
      </c>
      <c r="K638" s="3"/>
      <c r="L638" s="3"/>
      <c r="M638" s="3"/>
      <c r="N638" s="3"/>
      <c r="O638" s="3"/>
      <c r="P638" s="3"/>
      <c r="Q638" s="3"/>
      <c r="R638" s="3"/>
      <c r="S638" s="3"/>
    </row>
    <row r="639" spans="1:19" ht="26.25" x14ac:dyDescent="0.25">
      <c r="A639" s="1">
        <v>40885</v>
      </c>
      <c r="B639" s="1">
        <v>40885</v>
      </c>
      <c r="C639" s="2">
        <f t="shared" si="9"/>
        <v>1</v>
      </c>
      <c r="D639" s="6" t="s">
        <v>2556</v>
      </c>
      <c r="E639" s="3" t="s">
        <v>2557</v>
      </c>
      <c r="F639" s="4" t="s">
        <v>58</v>
      </c>
      <c r="G639" s="3" t="s">
        <v>271</v>
      </c>
      <c r="H639" s="3"/>
      <c r="I639" s="3" t="s">
        <v>210</v>
      </c>
      <c r="J639" s="3" t="s">
        <v>61</v>
      </c>
      <c r="K639" s="3"/>
      <c r="L639" s="3"/>
      <c r="M639" s="3"/>
      <c r="N639" s="3"/>
      <c r="O639" s="3"/>
      <c r="P639" s="3"/>
      <c r="Q639" s="3"/>
      <c r="R639" s="3"/>
      <c r="S639" s="3"/>
    </row>
    <row r="640" spans="1:19" ht="51.75" x14ac:dyDescent="0.25">
      <c r="A640" s="1">
        <v>40885</v>
      </c>
      <c r="B640" s="1">
        <v>40885</v>
      </c>
      <c r="C640" s="2">
        <f t="shared" si="9"/>
        <v>1</v>
      </c>
      <c r="D640" s="6" t="s">
        <v>2559</v>
      </c>
      <c r="E640" s="3" t="s">
        <v>2560</v>
      </c>
      <c r="F640" s="4" t="s">
        <v>58</v>
      </c>
      <c r="G640" s="3" t="s">
        <v>1034</v>
      </c>
      <c r="H640" s="3" t="s">
        <v>1035</v>
      </c>
      <c r="I640" s="3" t="s">
        <v>71</v>
      </c>
      <c r="J640" s="3" t="s">
        <v>61</v>
      </c>
      <c r="K640" s="3"/>
      <c r="L640" s="3"/>
      <c r="M640" s="3"/>
      <c r="N640" s="3"/>
      <c r="O640" s="3"/>
      <c r="P640" s="3"/>
      <c r="Q640" s="3"/>
      <c r="R640" s="3"/>
      <c r="S640" s="3"/>
    </row>
    <row r="641" spans="1:19" ht="26.25" x14ac:dyDescent="0.25">
      <c r="A641" s="1">
        <v>40886</v>
      </c>
      <c r="B641" s="1">
        <v>40886</v>
      </c>
      <c r="C641" s="2">
        <f t="shared" ref="C641:C704" si="10">(B641-A641)+1</f>
        <v>1</v>
      </c>
      <c r="D641" s="6" t="s">
        <v>2561</v>
      </c>
      <c r="E641" s="3" t="s">
        <v>2562</v>
      </c>
      <c r="F641" s="4" t="s">
        <v>58</v>
      </c>
      <c r="G641" s="3" t="s">
        <v>824</v>
      </c>
      <c r="H641" s="3" t="s">
        <v>825</v>
      </c>
      <c r="I641" s="3" t="s">
        <v>71</v>
      </c>
      <c r="J641" s="3" t="s">
        <v>61</v>
      </c>
      <c r="K641" s="3"/>
      <c r="L641" s="3"/>
      <c r="M641" s="3"/>
      <c r="N641" s="3"/>
      <c r="O641" s="3"/>
      <c r="P641" s="3"/>
      <c r="Q641" s="3"/>
      <c r="R641" s="3"/>
      <c r="S641" s="3"/>
    </row>
    <row r="642" spans="1:19" ht="51.75" x14ac:dyDescent="0.25">
      <c r="A642" s="1">
        <v>40887</v>
      </c>
      <c r="B642" s="1">
        <v>40887</v>
      </c>
      <c r="C642" s="2">
        <f t="shared" si="10"/>
        <v>1</v>
      </c>
      <c r="D642" s="6" t="s">
        <v>2573</v>
      </c>
      <c r="E642" s="3" t="s">
        <v>2574</v>
      </c>
      <c r="F642" s="4" t="s">
        <v>58</v>
      </c>
      <c r="G642" s="3" t="s">
        <v>1267</v>
      </c>
      <c r="H642" s="3" t="s">
        <v>321</v>
      </c>
      <c r="I642" s="3" t="s">
        <v>227</v>
      </c>
      <c r="J642" s="3" t="s">
        <v>61</v>
      </c>
      <c r="K642" s="3"/>
      <c r="L642" s="3"/>
      <c r="M642" s="3"/>
      <c r="N642" s="3"/>
      <c r="O642" s="3"/>
      <c r="P642" s="3"/>
      <c r="Q642" s="3"/>
      <c r="R642" s="3"/>
      <c r="S642" s="3"/>
    </row>
    <row r="643" spans="1:19" ht="26.25" x14ac:dyDescent="0.25">
      <c r="A643" s="1">
        <v>40887</v>
      </c>
      <c r="B643" s="1">
        <v>40887</v>
      </c>
      <c r="C643" s="2">
        <f t="shared" si="10"/>
        <v>1</v>
      </c>
      <c r="D643" s="6" t="s">
        <v>2577</v>
      </c>
      <c r="E643" s="3" t="s">
        <v>2578</v>
      </c>
      <c r="F643" s="4" t="s">
        <v>58</v>
      </c>
      <c r="G643" s="3" t="s">
        <v>1327</v>
      </c>
      <c r="H643" s="3"/>
      <c r="I643" s="3" t="s">
        <v>60</v>
      </c>
      <c r="J643" s="3" t="s">
        <v>61</v>
      </c>
      <c r="K643" s="3"/>
      <c r="L643" s="3"/>
      <c r="M643" s="3"/>
      <c r="N643" s="3"/>
      <c r="O643" s="3"/>
      <c r="P643" s="3"/>
      <c r="Q643" s="3"/>
      <c r="R643" s="3"/>
      <c r="S643" s="3"/>
    </row>
    <row r="644" spans="1:19" ht="26.25" x14ac:dyDescent="0.25">
      <c r="A644" s="1">
        <v>40887</v>
      </c>
      <c r="B644" s="1">
        <v>40887</v>
      </c>
      <c r="C644" s="2">
        <f t="shared" si="10"/>
        <v>1</v>
      </c>
      <c r="D644" s="6" t="s">
        <v>2579</v>
      </c>
      <c r="E644" s="3" t="s">
        <v>2580</v>
      </c>
      <c r="F644" s="4" t="s">
        <v>58</v>
      </c>
      <c r="G644" s="3" t="s">
        <v>2581</v>
      </c>
      <c r="H644" s="3"/>
      <c r="I644" s="3" t="s">
        <v>894</v>
      </c>
      <c r="J644" s="3" t="s">
        <v>61</v>
      </c>
      <c r="K644" s="3"/>
      <c r="L644" s="3"/>
      <c r="M644" s="3"/>
      <c r="N644" s="3"/>
      <c r="O644" s="3"/>
      <c r="P644" s="3"/>
      <c r="Q644" s="3"/>
      <c r="R644" s="3"/>
      <c r="S644" s="3"/>
    </row>
    <row r="645" spans="1:19" ht="26.25" x14ac:dyDescent="0.25">
      <c r="A645" s="1">
        <v>40887</v>
      </c>
      <c r="B645" s="1">
        <v>40887</v>
      </c>
      <c r="C645" s="2">
        <f t="shared" si="10"/>
        <v>1</v>
      </c>
      <c r="D645" s="6" t="s">
        <v>2584</v>
      </c>
      <c r="E645" s="3" t="s">
        <v>2585</v>
      </c>
      <c r="F645" s="4" t="s">
        <v>58</v>
      </c>
      <c r="G645" s="3" t="s">
        <v>2586</v>
      </c>
      <c r="H645" s="3" t="s">
        <v>2587</v>
      </c>
      <c r="I645" s="3" t="s">
        <v>85</v>
      </c>
      <c r="J645" s="3" t="s">
        <v>61</v>
      </c>
      <c r="K645" s="3"/>
      <c r="L645" s="3"/>
      <c r="M645" s="3"/>
      <c r="N645" s="3"/>
      <c r="O645" s="3"/>
      <c r="P645" s="3"/>
      <c r="Q645" s="3"/>
      <c r="R645" s="3"/>
      <c r="S645" s="3"/>
    </row>
    <row r="646" spans="1:19" ht="39" x14ac:dyDescent="0.25">
      <c r="A646" s="1">
        <v>40887</v>
      </c>
      <c r="B646" s="1">
        <v>40887</v>
      </c>
      <c r="C646" s="2">
        <f t="shared" si="10"/>
        <v>1</v>
      </c>
      <c r="D646" s="6" t="s">
        <v>2589</v>
      </c>
      <c r="E646" s="3" t="s">
        <v>2590</v>
      </c>
      <c r="F646" s="4" t="s">
        <v>58</v>
      </c>
      <c r="G646" s="3" t="s">
        <v>2141</v>
      </c>
      <c r="H646" s="3" t="s">
        <v>2142</v>
      </c>
      <c r="I646" s="3" t="s">
        <v>105</v>
      </c>
      <c r="J646" s="3" t="s">
        <v>61</v>
      </c>
      <c r="K646" s="3"/>
      <c r="L646" s="3"/>
      <c r="M646" s="3"/>
      <c r="N646" s="3"/>
      <c r="O646" s="3"/>
      <c r="P646" s="3"/>
      <c r="Q646" s="3"/>
      <c r="R646" s="3"/>
      <c r="S646" s="3"/>
    </row>
    <row r="647" spans="1:19" ht="39" x14ac:dyDescent="0.25">
      <c r="A647" s="1">
        <v>40887</v>
      </c>
      <c r="B647" s="1">
        <v>40887</v>
      </c>
      <c r="C647" s="2">
        <f t="shared" si="10"/>
        <v>1</v>
      </c>
      <c r="D647" s="6" t="s">
        <v>2591</v>
      </c>
      <c r="E647" s="3" t="s">
        <v>2592</v>
      </c>
      <c r="F647" s="4" t="s">
        <v>58</v>
      </c>
      <c r="G647" s="3" t="s">
        <v>2593</v>
      </c>
      <c r="H647" s="3"/>
      <c r="I647" s="3" t="s">
        <v>2594</v>
      </c>
      <c r="J647" s="3" t="s">
        <v>61</v>
      </c>
      <c r="K647" s="3"/>
      <c r="L647" s="3"/>
      <c r="M647" s="3"/>
      <c r="N647" s="3"/>
      <c r="O647" s="3"/>
      <c r="P647" s="3"/>
      <c r="Q647" s="3"/>
      <c r="R647" s="3"/>
      <c r="S647" s="3"/>
    </row>
    <row r="648" spans="1:19" ht="51.75" x14ac:dyDescent="0.25">
      <c r="A648" s="16">
        <v>40887</v>
      </c>
      <c r="B648" s="16">
        <v>40887</v>
      </c>
      <c r="C648" s="2">
        <f t="shared" si="10"/>
        <v>1</v>
      </c>
      <c r="D648" s="27" t="s">
        <v>2595</v>
      </c>
      <c r="E648" s="7" t="s">
        <v>2596</v>
      </c>
      <c r="F648" s="4" t="s">
        <v>58</v>
      </c>
      <c r="G648" s="7" t="s">
        <v>961</v>
      </c>
      <c r="H648" s="7" t="s">
        <v>2597</v>
      </c>
      <c r="I648" s="7" t="s">
        <v>963</v>
      </c>
      <c r="J648" s="7" t="s">
        <v>61</v>
      </c>
      <c r="K648" s="7"/>
      <c r="L648" s="7"/>
      <c r="M648" s="7"/>
      <c r="N648" s="7"/>
      <c r="O648" s="7"/>
      <c r="P648" s="7"/>
      <c r="Q648" s="7"/>
      <c r="R648" s="7"/>
      <c r="S648" s="7"/>
    </row>
    <row r="649" spans="1:19" ht="51.75" x14ac:dyDescent="0.25">
      <c r="A649" s="1">
        <v>40887</v>
      </c>
      <c r="B649" s="1">
        <v>40887</v>
      </c>
      <c r="C649" s="2">
        <f t="shared" si="10"/>
        <v>1</v>
      </c>
      <c r="D649" s="6" t="s">
        <v>2598</v>
      </c>
      <c r="E649" s="3" t="s">
        <v>2599</v>
      </c>
      <c r="F649" s="4" t="s">
        <v>58</v>
      </c>
      <c r="G649" s="3" t="s">
        <v>2454</v>
      </c>
      <c r="H649" s="3"/>
      <c r="I649" s="3" t="s">
        <v>978</v>
      </c>
      <c r="J649" s="3" t="s">
        <v>61</v>
      </c>
      <c r="K649" s="3"/>
      <c r="L649" s="3"/>
      <c r="M649" s="3"/>
      <c r="N649" s="3"/>
      <c r="O649" s="3"/>
      <c r="P649" s="3"/>
      <c r="Q649" s="3"/>
      <c r="R649" s="3"/>
      <c r="S649" s="3"/>
    </row>
    <row r="650" spans="1:19" ht="51.75" x14ac:dyDescent="0.25">
      <c r="A650" s="1">
        <v>40887</v>
      </c>
      <c r="B650" s="1">
        <v>40887</v>
      </c>
      <c r="C650" s="2">
        <f t="shared" si="10"/>
        <v>1</v>
      </c>
      <c r="D650" s="6" t="s">
        <v>2444</v>
      </c>
      <c r="E650" s="3" t="s">
        <v>2445</v>
      </c>
      <c r="F650" s="4" t="s">
        <v>58</v>
      </c>
      <c r="G650" s="3" t="s">
        <v>2446</v>
      </c>
      <c r="H650" s="3"/>
      <c r="I650" s="3" t="s">
        <v>978</v>
      </c>
      <c r="J650" s="3" t="s">
        <v>61</v>
      </c>
      <c r="K650" s="3"/>
      <c r="L650" s="3"/>
      <c r="M650" s="3"/>
      <c r="N650" s="3"/>
      <c r="O650" s="3"/>
      <c r="P650" s="3"/>
      <c r="Q650" s="3"/>
      <c r="R650" s="3"/>
      <c r="S650" s="3"/>
    </row>
    <row r="651" spans="1:19" ht="26.25" x14ac:dyDescent="0.25">
      <c r="A651" s="1">
        <v>40887</v>
      </c>
      <c r="B651" s="1">
        <v>40887</v>
      </c>
      <c r="C651" s="2">
        <f t="shared" si="10"/>
        <v>1</v>
      </c>
      <c r="D651" s="6" t="s">
        <v>2601</v>
      </c>
      <c r="E651" s="3" t="s">
        <v>2602</v>
      </c>
      <c r="F651" s="4" t="s">
        <v>58</v>
      </c>
      <c r="G651" s="3" t="s">
        <v>2603</v>
      </c>
      <c r="H651" s="3" t="s">
        <v>944</v>
      </c>
      <c r="I651" s="3" t="s">
        <v>227</v>
      </c>
      <c r="J651" s="3" t="s">
        <v>61</v>
      </c>
      <c r="K651" s="3"/>
      <c r="L651" s="3"/>
      <c r="M651" s="3"/>
      <c r="N651" s="3"/>
      <c r="O651" s="3"/>
      <c r="P651" s="3"/>
      <c r="Q651" s="3"/>
      <c r="R651" s="3"/>
      <c r="S651" s="3"/>
    </row>
    <row r="652" spans="1:19" x14ac:dyDescent="0.25">
      <c r="A652" s="1">
        <v>40887</v>
      </c>
      <c r="B652" s="1">
        <v>40887</v>
      </c>
      <c r="C652" s="2">
        <f t="shared" si="10"/>
        <v>1</v>
      </c>
      <c r="D652" s="6" t="s">
        <v>2605</v>
      </c>
      <c r="E652" s="3" t="s">
        <v>2606</v>
      </c>
      <c r="F652" s="4" t="s">
        <v>58</v>
      </c>
      <c r="G652" s="3" t="s">
        <v>1348</v>
      </c>
      <c r="H652" s="3" t="s">
        <v>2007</v>
      </c>
      <c r="I652" s="3" t="s">
        <v>105</v>
      </c>
      <c r="J652" s="3" t="s">
        <v>61</v>
      </c>
      <c r="K652" s="3"/>
      <c r="L652" s="3"/>
      <c r="M652" s="3"/>
      <c r="N652" s="3"/>
      <c r="O652" s="3"/>
      <c r="P652" s="3"/>
      <c r="Q652" s="3"/>
      <c r="R652" s="3"/>
      <c r="S652" s="3"/>
    </row>
    <row r="653" spans="1:19" ht="39" x14ac:dyDescent="0.25">
      <c r="A653" s="1">
        <v>40888</v>
      </c>
      <c r="B653" s="1">
        <v>40888</v>
      </c>
      <c r="C653" s="2">
        <f t="shared" si="10"/>
        <v>1</v>
      </c>
      <c r="D653" s="6" t="s">
        <v>2612</v>
      </c>
      <c r="E653" s="3" t="s">
        <v>2613</v>
      </c>
      <c r="F653" s="4" t="s">
        <v>58</v>
      </c>
      <c r="G653" s="3" t="s">
        <v>2614</v>
      </c>
      <c r="H653" s="3"/>
      <c r="I653" s="3" t="s">
        <v>993</v>
      </c>
      <c r="J653" s="3" t="s">
        <v>61</v>
      </c>
      <c r="K653" s="3"/>
      <c r="L653" s="3"/>
      <c r="M653" s="3"/>
      <c r="N653" s="3"/>
      <c r="O653" s="3"/>
      <c r="P653" s="3"/>
      <c r="Q653" s="3"/>
      <c r="R653" s="3"/>
      <c r="S653" s="3"/>
    </row>
    <row r="654" spans="1:19" ht="39" x14ac:dyDescent="0.25">
      <c r="A654" s="1">
        <v>40888</v>
      </c>
      <c r="B654" s="1">
        <v>40888</v>
      </c>
      <c r="C654" s="2">
        <f t="shared" si="10"/>
        <v>1</v>
      </c>
      <c r="D654" s="6" t="s">
        <v>2619</v>
      </c>
      <c r="E654" s="3" t="s">
        <v>2620</v>
      </c>
      <c r="F654" s="4" t="s">
        <v>58</v>
      </c>
      <c r="G654" s="3" t="s">
        <v>2621</v>
      </c>
      <c r="H654" s="3" t="s">
        <v>2622</v>
      </c>
      <c r="I654" s="3" t="s">
        <v>2623</v>
      </c>
      <c r="J654" s="3" t="s">
        <v>61</v>
      </c>
      <c r="K654" s="3"/>
      <c r="L654" s="3"/>
      <c r="M654" s="3"/>
      <c r="N654" s="3"/>
      <c r="O654" s="3"/>
      <c r="P654" s="3"/>
      <c r="Q654" s="3"/>
      <c r="R654" s="3"/>
      <c r="S654" s="3"/>
    </row>
    <row r="655" spans="1:19" ht="26.25" x14ac:dyDescent="0.25">
      <c r="A655" s="1">
        <v>40888</v>
      </c>
      <c r="B655" s="1">
        <v>40888</v>
      </c>
      <c r="C655" s="2">
        <f t="shared" si="10"/>
        <v>1</v>
      </c>
      <c r="D655" s="6" t="s">
        <v>1838</v>
      </c>
      <c r="E655" s="3" t="s">
        <v>997</v>
      </c>
      <c r="F655" s="4" t="s">
        <v>58</v>
      </c>
      <c r="G655" s="3" t="s">
        <v>619</v>
      </c>
      <c r="H655" s="3" t="s">
        <v>2080</v>
      </c>
      <c r="I655" s="3" t="s">
        <v>303</v>
      </c>
      <c r="J655" s="3" t="s">
        <v>61</v>
      </c>
      <c r="K655" s="3"/>
      <c r="L655" s="3"/>
      <c r="M655" s="3"/>
      <c r="N655" s="3"/>
      <c r="O655" s="3"/>
      <c r="P655" s="3"/>
      <c r="Q655" s="3"/>
      <c r="R655" s="3"/>
      <c r="S655" s="3"/>
    </row>
    <row r="656" spans="1:19" ht="51.75" x14ac:dyDescent="0.25">
      <c r="A656" s="1">
        <v>40889</v>
      </c>
      <c r="B656" s="1">
        <v>40889</v>
      </c>
      <c r="C656" s="2">
        <f t="shared" si="10"/>
        <v>1</v>
      </c>
      <c r="D656" s="6" t="s">
        <v>2629</v>
      </c>
      <c r="E656" s="3" t="s">
        <v>759</v>
      </c>
      <c r="F656" s="4" t="s">
        <v>58</v>
      </c>
      <c r="G656" s="3" t="s">
        <v>760</v>
      </c>
      <c r="H656" s="3" t="s">
        <v>761</v>
      </c>
      <c r="I656" s="3" t="s">
        <v>448</v>
      </c>
      <c r="J656" s="3" t="s">
        <v>61</v>
      </c>
      <c r="K656" s="3"/>
      <c r="L656" s="3"/>
      <c r="M656" s="3"/>
      <c r="N656" s="3"/>
      <c r="O656" s="3"/>
      <c r="P656" s="3"/>
      <c r="Q656" s="3"/>
      <c r="R656" s="3"/>
      <c r="S656" s="3"/>
    </row>
    <row r="657" spans="1:19" ht="64.5" x14ac:dyDescent="0.25">
      <c r="A657" s="1">
        <v>40890</v>
      </c>
      <c r="B657" s="1">
        <v>40890</v>
      </c>
      <c r="C657" s="2">
        <f t="shared" si="10"/>
        <v>1</v>
      </c>
      <c r="D657" s="6" t="s">
        <v>2630</v>
      </c>
      <c r="E657" s="3" t="s">
        <v>2631</v>
      </c>
      <c r="F657" s="4" t="s">
        <v>58</v>
      </c>
      <c r="G657" s="3" t="s">
        <v>1127</v>
      </c>
      <c r="H657" s="3" t="s">
        <v>1128</v>
      </c>
      <c r="I657" s="3" t="s">
        <v>303</v>
      </c>
      <c r="J657" s="3" t="s">
        <v>61</v>
      </c>
      <c r="K657" s="3"/>
      <c r="L657" s="3"/>
      <c r="M657" s="3"/>
      <c r="N657" s="3"/>
      <c r="O657" s="3"/>
      <c r="P657" s="3"/>
      <c r="Q657" s="3"/>
      <c r="R657" s="3"/>
      <c r="S657" s="3"/>
    </row>
    <row r="658" spans="1:19" ht="26.25" x14ac:dyDescent="0.25">
      <c r="A658" s="1">
        <v>40891</v>
      </c>
      <c r="B658" s="1">
        <v>40891</v>
      </c>
      <c r="C658" s="2">
        <f t="shared" si="10"/>
        <v>1</v>
      </c>
      <c r="D658" s="6" t="s">
        <v>2632</v>
      </c>
      <c r="E658" s="3" t="s">
        <v>2633</v>
      </c>
      <c r="F658" s="4" t="s">
        <v>58</v>
      </c>
      <c r="G658" s="3" t="s">
        <v>1348</v>
      </c>
      <c r="H658" s="3" t="s">
        <v>2007</v>
      </c>
      <c r="I658" s="3" t="s">
        <v>105</v>
      </c>
      <c r="J658" s="3" t="s">
        <v>61</v>
      </c>
      <c r="K658" s="3"/>
      <c r="L658" s="3"/>
      <c r="M658" s="3"/>
      <c r="N658" s="3"/>
      <c r="O658" s="3"/>
      <c r="P658" s="3"/>
      <c r="Q658" s="3"/>
      <c r="R658" s="3"/>
      <c r="S658" s="3"/>
    </row>
    <row r="659" spans="1:19" ht="39" x14ac:dyDescent="0.25">
      <c r="A659" s="1">
        <v>40892</v>
      </c>
      <c r="B659" s="1">
        <v>40892</v>
      </c>
      <c r="C659" s="2">
        <f t="shared" si="10"/>
        <v>1</v>
      </c>
      <c r="D659" s="6" t="s">
        <v>2634</v>
      </c>
      <c r="E659" s="3" t="s">
        <v>2635</v>
      </c>
      <c r="F659" s="4" t="s">
        <v>58</v>
      </c>
      <c r="G659" s="3" t="s">
        <v>1554</v>
      </c>
      <c r="H659" s="3" t="s">
        <v>473</v>
      </c>
      <c r="I659" s="3" t="s">
        <v>193</v>
      </c>
      <c r="J659" s="3" t="s">
        <v>61</v>
      </c>
      <c r="K659" s="3"/>
      <c r="L659" s="3"/>
      <c r="M659" s="3"/>
      <c r="N659" s="3"/>
      <c r="O659" s="3"/>
      <c r="P659" s="3"/>
      <c r="Q659" s="3"/>
      <c r="R659" s="3"/>
      <c r="S659" s="3"/>
    </row>
    <row r="660" spans="1:19" ht="26.25" x14ac:dyDescent="0.25">
      <c r="A660" s="1">
        <v>40899</v>
      </c>
      <c r="B660" s="1">
        <v>40899</v>
      </c>
      <c r="C660" s="2">
        <f t="shared" si="10"/>
        <v>1</v>
      </c>
      <c r="D660" s="6" t="s">
        <v>2657</v>
      </c>
      <c r="E660" s="3" t="s">
        <v>2657</v>
      </c>
      <c r="F660" s="4" t="s">
        <v>58</v>
      </c>
      <c r="G660" s="3" t="s">
        <v>837</v>
      </c>
      <c r="H660" s="3"/>
      <c r="I660" s="3" t="s">
        <v>60</v>
      </c>
      <c r="J660" s="3" t="s">
        <v>61</v>
      </c>
      <c r="K660" s="3"/>
      <c r="L660" s="3"/>
      <c r="M660" s="3"/>
      <c r="N660" s="3"/>
      <c r="O660" s="3"/>
      <c r="P660" s="3"/>
      <c r="Q660" s="3"/>
      <c r="R660" s="3"/>
      <c r="S660" s="3"/>
    </row>
    <row r="661" spans="1:19" ht="26.25" x14ac:dyDescent="0.25">
      <c r="A661" s="1">
        <v>40900</v>
      </c>
      <c r="B661" s="1">
        <v>40900</v>
      </c>
      <c r="C661" s="2">
        <f t="shared" si="10"/>
        <v>1</v>
      </c>
      <c r="D661" s="6" t="s">
        <v>2658</v>
      </c>
      <c r="E661" s="3" t="s">
        <v>2659</v>
      </c>
      <c r="F661" s="4" t="s">
        <v>58</v>
      </c>
      <c r="G661" s="3" t="s">
        <v>2660</v>
      </c>
      <c r="H661" s="3" t="s">
        <v>2661</v>
      </c>
      <c r="I661" s="3" t="s">
        <v>85</v>
      </c>
      <c r="J661" s="3" t="s">
        <v>61</v>
      </c>
      <c r="K661" s="3"/>
      <c r="L661" s="3"/>
      <c r="M661" s="3"/>
      <c r="N661" s="3"/>
      <c r="O661" s="3"/>
      <c r="P661" s="3"/>
      <c r="Q661" s="3"/>
      <c r="R661" s="3"/>
      <c r="S661" s="3"/>
    </row>
    <row r="662" spans="1:19" ht="26.25" x14ac:dyDescent="0.25">
      <c r="A662" s="1">
        <v>40902</v>
      </c>
      <c r="B662" s="1">
        <v>40902</v>
      </c>
      <c r="C662" s="2">
        <f t="shared" si="10"/>
        <v>1</v>
      </c>
      <c r="D662" s="6" t="s">
        <v>2664</v>
      </c>
      <c r="E662" s="3" t="s">
        <v>2665</v>
      </c>
      <c r="F662" s="4" t="s">
        <v>58</v>
      </c>
      <c r="G662" s="3" t="s">
        <v>2666</v>
      </c>
      <c r="H662" s="3" t="s">
        <v>2667</v>
      </c>
      <c r="I662" s="3" t="s">
        <v>978</v>
      </c>
      <c r="J662" s="3" t="s">
        <v>61</v>
      </c>
      <c r="K662" s="3"/>
      <c r="L662" s="3"/>
      <c r="M662" s="3"/>
      <c r="N662" s="3"/>
      <c r="O662" s="3"/>
      <c r="P662" s="3"/>
      <c r="Q662" s="3"/>
      <c r="R662" s="3"/>
      <c r="S662" s="3"/>
    </row>
    <row r="663" spans="1:19" x14ac:dyDescent="0.25">
      <c r="A663" s="1">
        <v>40903</v>
      </c>
      <c r="B663" s="1">
        <v>40903</v>
      </c>
      <c r="C663" s="2">
        <f t="shared" si="10"/>
        <v>1</v>
      </c>
      <c r="D663" s="6" t="s">
        <v>2668</v>
      </c>
      <c r="E663" s="3" t="s">
        <v>2669</v>
      </c>
      <c r="F663" s="4" t="s">
        <v>58</v>
      </c>
      <c r="G663" s="3" t="s">
        <v>2670</v>
      </c>
      <c r="H663" s="3"/>
      <c r="I663" s="3" t="s">
        <v>978</v>
      </c>
      <c r="J663" s="3" t="s">
        <v>61</v>
      </c>
      <c r="K663" s="3"/>
      <c r="L663" s="3"/>
      <c r="M663" s="3"/>
      <c r="N663" s="3"/>
      <c r="O663" s="3"/>
      <c r="P663" s="3"/>
      <c r="Q663" s="3"/>
      <c r="R663" s="3"/>
      <c r="S663" s="3"/>
    </row>
    <row r="664" spans="1:19" ht="26.25" x14ac:dyDescent="0.25">
      <c r="A664" s="1">
        <v>40908</v>
      </c>
      <c r="B664" s="1">
        <v>40908</v>
      </c>
      <c r="C664" s="2">
        <f t="shared" si="10"/>
        <v>1</v>
      </c>
      <c r="D664" s="6" t="s">
        <v>1838</v>
      </c>
      <c r="E664" s="3" t="s">
        <v>1969</v>
      </c>
      <c r="F664" s="4" t="s">
        <v>58</v>
      </c>
      <c r="G664" s="3" t="s">
        <v>619</v>
      </c>
      <c r="H664" s="3" t="s">
        <v>2080</v>
      </c>
      <c r="I664" s="3" t="s">
        <v>303</v>
      </c>
      <c r="J664" s="3" t="s">
        <v>61</v>
      </c>
      <c r="K664" s="3"/>
      <c r="L664" s="3"/>
      <c r="M664" s="3"/>
      <c r="N664" s="3"/>
      <c r="O664" s="3"/>
      <c r="P664" s="3"/>
      <c r="Q664" s="3"/>
      <c r="R664" s="3"/>
      <c r="S664" s="3"/>
    </row>
    <row r="665" spans="1:19" ht="26.25" x14ac:dyDescent="0.25">
      <c r="A665" s="1">
        <v>40908</v>
      </c>
      <c r="B665" s="1">
        <v>40908</v>
      </c>
      <c r="C665" s="2">
        <f t="shared" si="10"/>
        <v>1</v>
      </c>
      <c r="D665" s="6" t="s">
        <v>897</v>
      </c>
      <c r="E665" s="3" t="s">
        <v>897</v>
      </c>
      <c r="F665" s="4" t="s">
        <v>58</v>
      </c>
      <c r="G665" s="3" t="s">
        <v>297</v>
      </c>
      <c r="H665" s="3"/>
      <c r="I665" s="3" t="s">
        <v>60</v>
      </c>
      <c r="J665" s="3" t="s">
        <v>61</v>
      </c>
      <c r="K665" s="3"/>
      <c r="L665" s="3"/>
      <c r="M665" s="3"/>
      <c r="N665" s="3"/>
      <c r="O665" s="3"/>
      <c r="P665" s="3"/>
      <c r="Q665" s="3"/>
      <c r="R665" s="3"/>
      <c r="S665" s="3"/>
    </row>
    <row r="666" spans="1:19" ht="51.75" x14ac:dyDescent="0.25">
      <c r="A666" s="1">
        <v>40908</v>
      </c>
      <c r="B666" s="1">
        <v>40908</v>
      </c>
      <c r="C666" s="2">
        <f t="shared" si="10"/>
        <v>1</v>
      </c>
      <c r="D666" s="6" t="s">
        <v>2673</v>
      </c>
      <c r="E666" s="3" t="s">
        <v>2674</v>
      </c>
      <c r="F666" s="4" t="s">
        <v>58</v>
      </c>
      <c r="G666" s="3" t="s">
        <v>2675</v>
      </c>
      <c r="H666" s="3" t="s">
        <v>1560</v>
      </c>
      <c r="I666" s="3" t="s">
        <v>303</v>
      </c>
      <c r="J666" s="3" t="s">
        <v>61</v>
      </c>
      <c r="K666" s="3"/>
      <c r="L666" s="3"/>
      <c r="M666" s="3"/>
      <c r="N666" s="3"/>
      <c r="O666" s="3"/>
      <c r="P666" s="3"/>
      <c r="Q666" s="3"/>
      <c r="R666" s="3"/>
      <c r="S666" s="3"/>
    </row>
    <row r="667" spans="1:19" ht="51.75" x14ac:dyDescent="0.25">
      <c r="A667" s="1">
        <v>40908</v>
      </c>
      <c r="B667" s="1">
        <v>40908</v>
      </c>
      <c r="C667" s="2">
        <f t="shared" si="10"/>
        <v>1</v>
      </c>
      <c r="D667" s="6" t="s">
        <v>2679</v>
      </c>
      <c r="E667" s="3" t="s">
        <v>2680</v>
      </c>
      <c r="F667" s="4" t="s">
        <v>58</v>
      </c>
      <c r="G667" s="3" t="s">
        <v>2681</v>
      </c>
      <c r="H667" s="3"/>
      <c r="I667" s="3" t="s">
        <v>2682</v>
      </c>
      <c r="J667" s="3" t="s">
        <v>61</v>
      </c>
      <c r="K667" s="3"/>
      <c r="L667" s="3"/>
      <c r="M667" s="3"/>
      <c r="N667" s="3"/>
      <c r="O667" s="3"/>
      <c r="P667" s="3"/>
      <c r="Q667" s="3"/>
      <c r="R667" s="3"/>
      <c r="S667" s="3"/>
    </row>
    <row r="668" spans="1:19" ht="26.25" x14ac:dyDescent="0.25">
      <c r="A668" s="1">
        <v>40916</v>
      </c>
      <c r="B668" s="1">
        <v>40916</v>
      </c>
      <c r="C668" s="2">
        <f t="shared" si="10"/>
        <v>1</v>
      </c>
      <c r="D668" s="6" t="s">
        <v>2690</v>
      </c>
      <c r="E668" s="3" t="s">
        <v>2691</v>
      </c>
      <c r="F668" s="4" t="s">
        <v>58</v>
      </c>
      <c r="G668" s="3" t="s">
        <v>1348</v>
      </c>
      <c r="H668" s="3" t="s">
        <v>2007</v>
      </c>
      <c r="I668" s="3" t="s">
        <v>105</v>
      </c>
      <c r="J668" s="3" t="s">
        <v>61</v>
      </c>
      <c r="K668" s="3"/>
      <c r="L668" s="3"/>
      <c r="M668" s="3"/>
      <c r="N668" s="3"/>
      <c r="O668" s="3"/>
      <c r="P668" s="3"/>
      <c r="Q668" s="3"/>
      <c r="R668" s="3"/>
      <c r="S668" s="3"/>
    </row>
    <row r="669" spans="1:19" ht="51.75" x14ac:dyDescent="0.25">
      <c r="A669" s="1">
        <v>40920</v>
      </c>
      <c r="B669" s="1">
        <v>40920</v>
      </c>
      <c r="C669" s="2">
        <f t="shared" si="10"/>
        <v>1</v>
      </c>
      <c r="D669" s="6" t="s">
        <v>2692</v>
      </c>
      <c r="E669" s="3" t="s">
        <v>2693</v>
      </c>
      <c r="F669" s="4" t="s">
        <v>58</v>
      </c>
      <c r="G669" s="3" t="s">
        <v>837</v>
      </c>
      <c r="H669" s="3"/>
      <c r="I669" s="3" t="s">
        <v>60</v>
      </c>
      <c r="J669" s="3" t="s">
        <v>61</v>
      </c>
      <c r="K669" s="3"/>
      <c r="L669" s="3"/>
      <c r="M669" s="3"/>
      <c r="N669" s="3"/>
      <c r="O669" s="3"/>
      <c r="P669" s="3"/>
      <c r="Q669" s="3"/>
      <c r="R669" s="3"/>
      <c r="S669" s="3"/>
    </row>
    <row r="670" spans="1:19" ht="26.25" x14ac:dyDescent="0.25">
      <c r="A670" s="1">
        <v>40922</v>
      </c>
      <c r="B670" s="1">
        <v>40922</v>
      </c>
      <c r="C670" s="2">
        <f t="shared" si="10"/>
        <v>1</v>
      </c>
      <c r="D670" s="6" t="s">
        <v>2697</v>
      </c>
      <c r="E670" s="3" t="s">
        <v>2698</v>
      </c>
      <c r="F670" s="4" t="s">
        <v>58</v>
      </c>
      <c r="G670" s="3" t="s">
        <v>551</v>
      </c>
      <c r="H670" s="3" t="s">
        <v>552</v>
      </c>
      <c r="I670" s="3" t="s">
        <v>60</v>
      </c>
      <c r="J670" s="3" t="s">
        <v>61</v>
      </c>
      <c r="K670" s="3"/>
      <c r="L670" s="3"/>
      <c r="M670" s="3"/>
      <c r="N670" s="3"/>
      <c r="O670" s="3"/>
      <c r="P670" s="3"/>
      <c r="Q670" s="3"/>
      <c r="R670" s="3"/>
      <c r="S670" s="3"/>
    </row>
    <row r="671" spans="1:19" ht="26.25" x14ac:dyDescent="0.25">
      <c r="A671" s="1">
        <v>40922</v>
      </c>
      <c r="B671" s="1">
        <v>40922</v>
      </c>
      <c r="C671" s="2">
        <f t="shared" si="10"/>
        <v>1</v>
      </c>
      <c r="D671" s="6" t="s">
        <v>1292</v>
      </c>
      <c r="E671" s="3" t="s">
        <v>1292</v>
      </c>
      <c r="F671" s="4" t="s">
        <v>58</v>
      </c>
      <c r="G671" s="3" t="s">
        <v>297</v>
      </c>
      <c r="H671" s="3"/>
      <c r="I671" s="3" t="s">
        <v>60</v>
      </c>
      <c r="J671" s="3" t="s">
        <v>61</v>
      </c>
      <c r="K671" s="3"/>
      <c r="L671" s="3"/>
      <c r="M671" s="3"/>
      <c r="N671" s="3"/>
      <c r="O671" s="3"/>
      <c r="P671" s="3"/>
      <c r="Q671" s="3"/>
      <c r="R671" s="3"/>
      <c r="S671" s="3"/>
    </row>
    <row r="672" spans="1:19" ht="51.75" x14ac:dyDescent="0.25">
      <c r="A672" s="1">
        <v>40922</v>
      </c>
      <c r="B672" s="1">
        <v>40922</v>
      </c>
      <c r="C672" s="2">
        <f t="shared" si="10"/>
        <v>1</v>
      </c>
      <c r="D672" s="6" t="s">
        <v>2699</v>
      </c>
      <c r="E672" s="3" t="s">
        <v>2700</v>
      </c>
      <c r="F672" s="4" t="s">
        <v>58</v>
      </c>
      <c r="G672" s="3" t="s">
        <v>1856</v>
      </c>
      <c r="H672" s="3" t="s">
        <v>1857</v>
      </c>
      <c r="I672" s="3" t="s">
        <v>85</v>
      </c>
      <c r="J672" s="3" t="s">
        <v>61</v>
      </c>
      <c r="K672" s="3"/>
      <c r="L672" s="3"/>
      <c r="M672" s="3"/>
      <c r="N672" s="3"/>
      <c r="O672" s="3"/>
      <c r="P672" s="3"/>
      <c r="Q672" s="3"/>
      <c r="R672" s="3"/>
      <c r="S672" s="3"/>
    </row>
    <row r="673" spans="1:19" ht="39" x14ac:dyDescent="0.25">
      <c r="A673" s="1">
        <v>40923</v>
      </c>
      <c r="B673" s="1">
        <v>40923</v>
      </c>
      <c r="C673" s="2">
        <f t="shared" si="10"/>
        <v>1</v>
      </c>
      <c r="D673" s="6" t="s">
        <v>2701</v>
      </c>
      <c r="E673" s="3" t="s">
        <v>2702</v>
      </c>
      <c r="F673" s="4" t="s">
        <v>58</v>
      </c>
      <c r="G673" s="3" t="s">
        <v>2703</v>
      </c>
      <c r="H673" s="3" t="s">
        <v>2704</v>
      </c>
      <c r="I673" s="3" t="s">
        <v>865</v>
      </c>
      <c r="J673" s="3" t="s">
        <v>61</v>
      </c>
      <c r="K673" s="3"/>
      <c r="L673" s="3"/>
      <c r="M673" s="3"/>
      <c r="N673" s="3"/>
      <c r="O673" s="3"/>
      <c r="P673" s="3"/>
      <c r="Q673" s="3"/>
      <c r="R673" s="3"/>
      <c r="S673" s="3"/>
    </row>
    <row r="674" spans="1:19" ht="51.75" x14ac:dyDescent="0.25">
      <c r="A674" s="1">
        <v>40923</v>
      </c>
      <c r="B674" s="1">
        <v>40923</v>
      </c>
      <c r="C674" s="2">
        <f t="shared" si="10"/>
        <v>1</v>
      </c>
      <c r="D674" s="6" t="s">
        <v>2708</v>
      </c>
      <c r="E674" s="3" t="s">
        <v>2709</v>
      </c>
      <c r="F674" s="4" t="s">
        <v>58</v>
      </c>
      <c r="G674" s="3" t="s">
        <v>2710</v>
      </c>
      <c r="H674" s="3"/>
      <c r="I674" s="3" t="s">
        <v>261</v>
      </c>
      <c r="J674" s="3" t="s">
        <v>61</v>
      </c>
      <c r="K674" s="3"/>
      <c r="L674" s="3"/>
      <c r="M674" s="3"/>
      <c r="N674" s="3"/>
      <c r="O674" s="3"/>
      <c r="P674" s="3"/>
      <c r="Q674" s="3"/>
      <c r="R674" s="3"/>
      <c r="S674" s="3"/>
    </row>
    <row r="675" spans="1:19" ht="39" x14ac:dyDescent="0.25">
      <c r="A675" s="1">
        <v>40927</v>
      </c>
      <c r="B675" s="1">
        <v>40927</v>
      </c>
      <c r="C675" s="2">
        <f t="shared" si="10"/>
        <v>1</v>
      </c>
      <c r="D675" s="6" t="s">
        <v>2712</v>
      </c>
      <c r="E675" s="3" t="s">
        <v>2713</v>
      </c>
      <c r="F675" s="4" t="s">
        <v>58</v>
      </c>
      <c r="G675" s="3" t="s">
        <v>1127</v>
      </c>
      <c r="H675" s="3" t="s">
        <v>1128</v>
      </c>
      <c r="I675" s="3" t="s">
        <v>303</v>
      </c>
      <c r="J675" s="3" t="s">
        <v>61</v>
      </c>
      <c r="K675" s="3"/>
      <c r="L675" s="3"/>
      <c r="M675" s="3"/>
      <c r="N675" s="3"/>
      <c r="O675" s="3"/>
      <c r="P675" s="3"/>
      <c r="Q675" s="3"/>
      <c r="R675" s="3"/>
      <c r="S675" s="3"/>
    </row>
    <row r="676" spans="1:19" ht="39" x14ac:dyDescent="0.25">
      <c r="A676" s="1">
        <v>40928</v>
      </c>
      <c r="B676" s="1">
        <v>40928</v>
      </c>
      <c r="C676" s="2">
        <f t="shared" si="10"/>
        <v>1</v>
      </c>
      <c r="D676" s="6" t="s">
        <v>2716</v>
      </c>
      <c r="E676" s="3" t="s">
        <v>2717</v>
      </c>
      <c r="F676" s="4" t="s">
        <v>58</v>
      </c>
      <c r="G676" s="3" t="s">
        <v>2718</v>
      </c>
      <c r="H676" s="3" t="s">
        <v>2719</v>
      </c>
      <c r="I676" s="3" t="s">
        <v>865</v>
      </c>
      <c r="J676" s="3" t="s">
        <v>61</v>
      </c>
      <c r="K676" s="3"/>
      <c r="L676" s="3"/>
      <c r="M676" s="3"/>
      <c r="N676" s="3"/>
      <c r="O676" s="3"/>
      <c r="P676" s="3"/>
      <c r="Q676" s="3"/>
      <c r="R676" s="3"/>
      <c r="S676" s="3"/>
    </row>
    <row r="677" spans="1:19" ht="26.25" x14ac:dyDescent="0.25">
      <c r="A677" s="1">
        <v>40928</v>
      </c>
      <c r="B677" s="1">
        <v>40928</v>
      </c>
      <c r="C677" s="2">
        <f t="shared" si="10"/>
        <v>1</v>
      </c>
      <c r="D677" s="6" t="s">
        <v>2723</v>
      </c>
      <c r="E677" s="3" t="s">
        <v>1564</v>
      </c>
      <c r="F677" s="4" t="s">
        <v>58</v>
      </c>
      <c r="G677" s="3" t="s">
        <v>297</v>
      </c>
      <c r="H677" s="3"/>
      <c r="I677" s="3" t="s">
        <v>60</v>
      </c>
      <c r="J677" s="3" t="s">
        <v>61</v>
      </c>
      <c r="K677" s="3"/>
      <c r="L677" s="3"/>
      <c r="M677" s="3"/>
      <c r="N677" s="3"/>
      <c r="O677" s="3"/>
      <c r="P677" s="3"/>
      <c r="Q677" s="3"/>
      <c r="R677" s="3"/>
      <c r="S677" s="3"/>
    </row>
    <row r="678" spans="1:19" ht="26.25" x14ac:dyDescent="0.25">
      <c r="A678" s="1">
        <v>40929</v>
      </c>
      <c r="B678" s="1">
        <v>40929</v>
      </c>
      <c r="C678" s="2">
        <f t="shared" si="10"/>
        <v>1</v>
      </c>
      <c r="D678" s="6" t="s">
        <v>1636</v>
      </c>
      <c r="E678" s="3" t="s">
        <v>1636</v>
      </c>
      <c r="F678" s="4" t="s">
        <v>58</v>
      </c>
      <c r="G678" s="3" t="s">
        <v>297</v>
      </c>
      <c r="H678" s="3"/>
      <c r="I678" s="3" t="s">
        <v>60</v>
      </c>
      <c r="J678" s="3" t="s">
        <v>61</v>
      </c>
      <c r="K678" s="3"/>
      <c r="L678" s="3"/>
      <c r="M678" s="3"/>
      <c r="N678" s="3"/>
      <c r="O678" s="3"/>
      <c r="P678" s="3"/>
      <c r="Q678" s="3"/>
      <c r="R678" s="3"/>
      <c r="S678" s="3"/>
    </row>
    <row r="679" spans="1:19" ht="39" x14ac:dyDescent="0.25">
      <c r="A679" s="1">
        <v>40932</v>
      </c>
      <c r="B679" s="1">
        <v>40932</v>
      </c>
      <c r="C679" s="2">
        <f t="shared" si="10"/>
        <v>1</v>
      </c>
      <c r="D679" s="6" t="s">
        <v>2731</v>
      </c>
      <c r="E679" s="3" t="s">
        <v>2732</v>
      </c>
      <c r="F679" s="4" t="s">
        <v>58</v>
      </c>
      <c r="G679" s="3" t="s">
        <v>1178</v>
      </c>
      <c r="H679" s="3" t="s">
        <v>2718</v>
      </c>
      <c r="I679" s="3" t="s">
        <v>865</v>
      </c>
      <c r="J679" s="3" t="s">
        <v>61</v>
      </c>
      <c r="K679" s="3"/>
      <c r="L679" s="3"/>
      <c r="M679" s="3"/>
      <c r="N679" s="3"/>
      <c r="O679" s="3"/>
      <c r="P679" s="3"/>
      <c r="Q679" s="3"/>
      <c r="R679" s="3"/>
      <c r="S679" s="3"/>
    </row>
    <row r="680" spans="1:19" ht="39" x14ac:dyDescent="0.25">
      <c r="A680" s="1">
        <v>40934</v>
      </c>
      <c r="B680" s="1">
        <v>40934</v>
      </c>
      <c r="C680" s="2">
        <f t="shared" si="10"/>
        <v>1</v>
      </c>
      <c r="D680" s="6" t="s">
        <v>2737</v>
      </c>
      <c r="E680" s="3" t="s">
        <v>2738</v>
      </c>
      <c r="F680" s="4" t="s">
        <v>58</v>
      </c>
      <c r="G680" s="3" t="s">
        <v>1127</v>
      </c>
      <c r="H680" s="3"/>
      <c r="I680" s="3" t="s">
        <v>303</v>
      </c>
      <c r="J680" s="3" t="s">
        <v>61</v>
      </c>
      <c r="K680" s="3"/>
      <c r="L680" s="3"/>
      <c r="M680" s="3"/>
      <c r="N680" s="3"/>
      <c r="O680" s="3"/>
      <c r="P680" s="3"/>
      <c r="Q680" s="3"/>
      <c r="R680" s="3"/>
      <c r="S680" s="3"/>
    </row>
    <row r="681" spans="1:19" ht="39" x14ac:dyDescent="0.25">
      <c r="A681" s="1">
        <v>40936</v>
      </c>
      <c r="B681" s="1">
        <v>40936</v>
      </c>
      <c r="C681" s="2">
        <f t="shared" si="10"/>
        <v>1</v>
      </c>
      <c r="D681" s="6" t="s">
        <v>2746</v>
      </c>
      <c r="E681" s="3" t="s">
        <v>2747</v>
      </c>
      <c r="F681" s="4" t="s">
        <v>58</v>
      </c>
      <c r="G681" s="3" t="s">
        <v>2748</v>
      </c>
      <c r="H681" s="3" t="s">
        <v>2749</v>
      </c>
      <c r="I681" s="3" t="s">
        <v>105</v>
      </c>
      <c r="J681" s="3" t="s">
        <v>61</v>
      </c>
      <c r="K681" s="3"/>
      <c r="L681" s="3"/>
      <c r="M681" s="3"/>
      <c r="N681" s="3"/>
      <c r="O681" s="3"/>
      <c r="P681" s="3"/>
      <c r="Q681" s="3"/>
      <c r="R681" s="3"/>
      <c r="S681" s="3"/>
    </row>
    <row r="682" spans="1:19" ht="39" x14ac:dyDescent="0.25">
      <c r="A682" s="1">
        <v>40936</v>
      </c>
      <c r="B682" s="1">
        <v>40936</v>
      </c>
      <c r="C682" s="2">
        <f t="shared" si="10"/>
        <v>1</v>
      </c>
      <c r="D682" s="6" t="s">
        <v>2752</v>
      </c>
      <c r="E682" s="3" t="s">
        <v>2753</v>
      </c>
      <c r="F682" s="4" t="s">
        <v>58</v>
      </c>
      <c r="G682" s="3" t="s">
        <v>2754</v>
      </c>
      <c r="H682" s="3" t="s">
        <v>2755</v>
      </c>
      <c r="I682" s="3" t="s">
        <v>1446</v>
      </c>
      <c r="J682" s="3" t="s">
        <v>61</v>
      </c>
      <c r="K682" s="3"/>
      <c r="L682" s="3"/>
      <c r="M682" s="3"/>
      <c r="N682" s="3"/>
      <c r="O682" s="3"/>
      <c r="P682" s="3"/>
      <c r="Q682" s="3"/>
      <c r="R682" s="3"/>
      <c r="S682" s="3"/>
    </row>
    <row r="683" spans="1:19" ht="26.25" x14ac:dyDescent="0.25">
      <c r="A683" s="1">
        <v>40936</v>
      </c>
      <c r="B683" s="1">
        <v>40936</v>
      </c>
      <c r="C683" s="2">
        <f t="shared" si="10"/>
        <v>1</v>
      </c>
      <c r="D683" s="6" t="s">
        <v>2759</v>
      </c>
      <c r="E683" s="3" t="s">
        <v>2760</v>
      </c>
      <c r="F683" s="4" t="s">
        <v>58</v>
      </c>
      <c r="G683" s="3" t="s">
        <v>1091</v>
      </c>
      <c r="H683" s="3" t="s">
        <v>1092</v>
      </c>
      <c r="I683" s="3" t="s">
        <v>963</v>
      </c>
      <c r="J683" s="3" t="s">
        <v>61</v>
      </c>
      <c r="K683" s="3"/>
      <c r="L683" s="3"/>
      <c r="M683" s="3"/>
      <c r="N683" s="3"/>
      <c r="O683" s="3"/>
      <c r="P683" s="3"/>
      <c r="Q683" s="3"/>
      <c r="R683" s="3"/>
      <c r="S683" s="3"/>
    </row>
    <row r="684" spans="1:19" ht="39" x14ac:dyDescent="0.25">
      <c r="A684" s="1">
        <v>40936</v>
      </c>
      <c r="B684" s="1">
        <v>40936</v>
      </c>
      <c r="C684" s="2">
        <f t="shared" si="10"/>
        <v>1</v>
      </c>
      <c r="D684" s="6" t="s">
        <v>2761</v>
      </c>
      <c r="E684" s="3" t="s">
        <v>2762</v>
      </c>
      <c r="F684" s="4" t="s">
        <v>58</v>
      </c>
      <c r="G684" s="3" t="s">
        <v>2763</v>
      </c>
      <c r="H684" s="3" t="s">
        <v>2347</v>
      </c>
      <c r="I684" s="3" t="s">
        <v>227</v>
      </c>
      <c r="J684" s="3" t="s">
        <v>61</v>
      </c>
      <c r="K684" s="3"/>
      <c r="L684" s="3"/>
      <c r="M684" s="3"/>
      <c r="N684" s="3"/>
      <c r="O684" s="3"/>
      <c r="P684" s="3"/>
      <c r="Q684" s="3"/>
      <c r="R684" s="3"/>
      <c r="S684" s="3"/>
    </row>
    <row r="685" spans="1:19" ht="39" x14ac:dyDescent="0.25">
      <c r="A685" s="1">
        <v>40937</v>
      </c>
      <c r="B685" s="1">
        <v>40937</v>
      </c>
      <c r="C685" s="2">
        <f t="shared" si="10"/>
        <v>1</v>
      </c>
      <c r="D685" s="6" t="s">
        <v>2764</v>
      </c>
      <c r="E685" s="3" t="s">
        <v>2765</v>
      </c>
      <c r="F685" s="4" t="s">
        <v>58</v>
      </c>
      <c r="G685" s="3" t="s">
        <v>1348</v>
      </c>
      <c r="H685" s="3" t="s">
        <v>2007</v>
      </c>
      <c r="I685" s="3" t="s">
        <v>105</v>
      </c>
      <c r="J685" s="3" t="s">
        <v>61</v>
      </c>
      <c r="K685" s="3"/>
      <c r="L685" s="3"/>
      <c r="M685" s="3"/>
      <c r="N685" s="3"/>
      <c r="O685" s="3"/>
      <c r="P685" s="3"/>
      <c r="Q685" s="3"/>
      <c r="R685" s="3"/>
      <c r="S685" s="3"/>
    </row>
    <row r="686" spans="1:19" ht="51.75" x14ac:dyDescent="0.25">
      <c r="A686" s="1">
        <v>40941</v>
      </c>
      <c r="B686" s="1">
        <v>40941</v>
      </c>
      <c r="C686" s="2">
        <f t="shared" si="10"/>
        <v>1</v>
      </c>
      <c r="D686" s="6" t="s">
        <v>2772</v>
      </c>
      <c r="E686" s="3" t="s">
        <v>2773</v>
      </c>
      <c r="F686" s="4" t="s">
        <v>58</v>
      </c>
      <c r="G686" s="3" t="s">
        <v>1348</v>
      </c>
      <c r="H686" s="3" t="s">
        <v>2007</v>
      </c>
      <c r="I686" s="3" t="s">
        <v>105</v>
      </c>
      <c r="J686" s="3" t="s">
        <v>61</v>
      </c>
      <c r="K686" s="3"/>
      <c r="L686" s="3"/>
      <c r="M686" s="3"/>
      <c r="N686" s="3"/>
      <c r="O686" s="3"/>
      <c r="P686" s="3"/>
      <c r="Q686" s="3"/>
      <c r="R686" s="3"/>
      <c r="S686" s="3"/>
    </row>
    <row r="687" spans="1:19" ht="26.25" x14ac:dyDescent="0.25">
      <c r="A687" s="1">
        <v>40941</v>
      </c>
      <c r="B687" s="1">
        <v>40941</v>
      </c>
      <c r="C687" s="2">
        <f t="shared" si="10"/>
        <v>1</v>
      </c>
      <c r="D687" s="6" t="s">
        <v>2774</v>
      </c>
      <c r="E687" s="3" t="s">
        <v>2774</v>
      </c>
      <c r="F687" s="4" t="s">
        <v>58</v>
      </c>
      <c r="G687" s="3" t="s">
        <v>1327</v>
      </c>
      <c r="H687" s="3"/>
      <c r="I687" s="3" t="s">
        <v>60</v>
      </c>
      <c r="J687" s="3" t="s">
        <v>61</v>
      </c>
      <c r="K687" s="3"/>
      <c r="L687" s="3"/>
      <c r="M687" s="3"/>
      <c r="N687" s="3"/>
      <c r="O687" s="3"/>
      <c r="P687" s="3"/>
      <c r="Q687" s="3"/>
      <c r="R687" s="3"/>
      <c r="S687" s="3"/>
    </row>
    <row r="688" spans="1:19" ht="64.5" x14ac:dyDescent="0.25">
      <c r="A688" s="1">
        <v>40943</v>
      </c>
      <c r="B688" s="1">
        <v>40943</v>
      </c>
      <c r="C688" s="2">
        <f t="shared" si="10"/>
        <v>1</v>
      </c>
      <c r="D688" s="6" t="s">
        <v>2789</v>
      </c>
      <c r="E688" s="3" t="s">
        <v>2790</v>
      </c>
      <c r="F688" s="4" t="s">
        <v>58</v>
      </c>
      <c r="G688" s="3" t="s">
        <v>1178</v>
      </c>
      <c r="H688" s="3" t="s">
        <v>2718</v>
      </c>
      <c r="I688" s="3" t="s">
        <v>865</v>
      </c>
      <c r="J688" s="3" t="s">
        <v>61</v>
      </c>
      <c r="K688" s="3"/>
      <c r="L688" s="3"/>
      <c r="M688" s="3"/>
      <c r="N688" s="3"/>
      <c r="O688" s="3"/>
      <c r="P688" s="3"/>
      <c r="Q688" s="3"/>
      <c r="R688" s="3"/>
      <c r="S688" s="3"/>
    </row>
    <row r="689" spans="1:19" ht="26.25" x14ac:dyDescent="0.25">
      <c r="A689" s="1">
        <v>40943</v>
      </c>
      <c r="B689" s="1">
        <v>40943</v>
      </c>
      <c r="C689" s="2">
        <f t="shared" si="10"/>
        <v>1</v>
      </c>
      <c r="D689" s="6" t="s">
        <v>2792</v>
      </c>
      <c r="E689" s="3" t="s">
        <v>2793</v>
      </c>
      <c r="F689" s="4" t="s">
        <v>58</v>
      </c>
      <c r="G689" s="3" t="s">
        <v>2141</v>
      </c>
      <c r="H689" s="3" t="s">
        <v>2142</v>
      </c>
      <c r="I689" s="3" t="s">
        <v>105</v>
      </c>
      <c r="J689" s="3" t="s">
        <v>61</v>
      </c>
      <c r="K689" s="3"/>
      <c r="L689" s="3"/>
      <c r="M689" s="3"/>
      <c r="N689" s="3"/>
      <c r="O689" s="3"/>
      <c r="P689" s="3"/>
      <c r="Q689" s="3"/>
      <c r="R689" s="3"/>
      <c r="S689" s="3"/>
    </row>
    <row r="690" spans="1:19" ht="51.75" x14ac:dyDescent="0.25">
      <c r="A690" s="1">
        <v>40943</v>
      </c>
      <c r="B690" s="1">
        <v>40943</v>
      </c>
      <c r="C690" s="2">
        <f t="shared" si="10"/>
        <v>1</v>
      </c>
      <c r="D690" s="6" t="s">
        <v>2792</v>
      </c>
      <c r="E690" s="3" t="s">
        <v>2794</v>
      </c>
      <c r="F690" s="4" t="s">
        <v>58</v>
      </c>
      <c r="G690" s="3" t="s">
        <v>2141</v>
      </c>
      <c r="H690" s="3" t="s">
        <v>2142</v>
      </c>
      <c r="I690" s="3" t="s">
        <v>105</v>
      </c>
      <c r="J690" s="3" t="s">
        <v>61</v>
      </c>
      <c r="K690" s="3"/>
      <c r="L690" s="3"/>
      <c r="M690" s="3"/>
      <c r="N690" s="3"/>
      <c r="O690" s="3"/>
      <c r="P690" s="3"/>
      <c r="Q690" s="3"/>
      <c r="R690" s="3"/>
      <c r="S690" s="3"/>
    </row>
    <row r="691" spans="1:19" ht="51.75" x14ac:dyDescent="0.25">
      <c r="A691" s="1">
        <v>40943</v>
      </c>
      <c r="B691" s="1">
        <v>40943</v>
      </c>
      <c r="C691" s="2">
        <f t="shared" si="10"/>
        <v>1</v>
      </c>
      <c r="D691" s="6" t="s">
        <v>2795</v>
      </c>
      <c r="E691" s="3" t="s">
        <v>2796</v>
      </c>
      <c r="F691" s="4" t="s">
        <v>58</v>
      </c>
      <c r="G691" s="3" t="s">
        <v>2797</v>
      </c>
      <c r="H691" s="3" t="s">
        <v>2798</v>
      </c>
      <c r="I691" s="3" t="s">
        <v>71</v>
      </c>
      <c r="J691" s="3" t="s">
        <v>61</v>
      </c>
      <c r="K691" s="3"/>
      <c r="L691" s="3"/>
      <c r="M691" s="3"/>
      <c r="N691" s="3"/>
      <c r="O691" s="3"/>
      <c r="P691" s="3"/>
      <c r="Q691" s="3"/>
      <c r="R691" s="3"/>
      <c r="S691" s="3"/>
    </row>
    <row r="692" spans="1:19" ht="51.75" x14ac:dyDescent="0.25">
      <c r="A692" s="1">
        <v>40945</v>
      </c>
      <c r="B692" s="1">
        <v>40945</v>
      </c>
      <c r="C692" s="2">
        <f t="shared" si="10"/>
        <v>1</v>
      </c>
      <c r="D692" s="6" t="s">
        <v>2806</v>
      </c>
      <c r="E692" s="3" t="s">
        <v>2807</v>
      </c>
      <c r="F692" s="4" t="s">
        <v>58</v>
      </c>
      <c r="G692" s="3" t="s">
        <v>1127</v>
      </c>
      <c r="H692" s="3" t="s">
        <v>2808</v>
      </c>
      <c r="I692" s="3" t="s">
        <v>303</v>
      </c>
      <c r="J692" s="3" t="s">
        <v>61</v>
      </c>
      <c r="K692" s="3"/>
      <c r="L692" s="3"/>
      <c r="M692" s="3"/>
      <c r="N692" s="3"/>
      <c r="O692" s="3"/>
      <c r="P692" s="3"/>
      <c r="Q692" s="3"/>
      <c r="R692" s="3"/>
      <c r="S692" s="3"/>
    </row>
    <row r="693" spans="1:19" ht="51.75" x14ac:dyDescent="0.25">
      <c r="A693" s="1">
        <v>40949</v>
      </c>
      <c r="B693" s="1">
        <v>40949</v>
      </c>
      <c r="C693" s="2">
        <f t="shared" si="10"/>
        <v>1</v>
      </c>
      <c r="D693" s="6" t="s">
        <v>2809</v>
      </c>
      <c r="E693" s="3" t="s">
        <v>2810</v>
      </c>
      <c r="F693" s="4" t="s">
        <v>58</v>
      </c>
      <c r="G693" s="3" t="s">
        <v>1127</v>
      </c>
      <c r="H693" s="3" t="s">
        <v>1128</v>
      </c>
      <c r="I693" s="3" t="s">
        <v>303</v>
      </c>
      <c r="J693" s="3" t="s">
        <v>61</v>
      </c>
      <c r="K693" s="3"/>
      <c r="L693" s="3"/>
      <c r="M693" s="3"/>
      <c r="N693" s="3"/>
      <c r="O693" s="3"/>
      <c r="P693" s="3"/>
      <c r="Q693" s="3"/>
      <c r="R693" s="3"/>
      <c r="S693" s="3"/>
    </row>
    <row r="694" spans="1:19" ht="26.25" x14ac:dyDescent="0.25">
      <c r="A694" s="1">
        <v>40950</v>
      </c>
      <c r="B694" s="1">
        <v>40950</v>
      </c>
      <c r="C694" s="2">
        <f t="shared" si="10"/>
        <v>1</v>
      </c>
      <c r="D694" s="6" t="s">
        <v>2821</v>
      </c>
      <c r="E694" s="3" t="s">
        <v>2822</v>
      </c>
      <c r="F694" s="4" t="s">
        <v>58</v>
      </c>
      <c r="G694" s="3" t="s">
        <v>2823</v>
      </c>
      <c r="H694" s="3" t="s">
        <v>2824</v>
      </c>
      <c r="I694" s="3" t="s">
        <v>978</v>
      </c>
      <c r="J694" s="3" t="s">
        <v>61</v>
      </c>
      <c r="K694" s="3"/>
      <c r="L694" s="3"/>
      <c r="M694" s="3"/>
      <c r="N694" s="3"/>
      <c r="O694" s="3"/>
      <c r="P694" s="3"/>
      <c r="Q694" s="3"/>
      <c r="R694" s="3"/>
      <c r="S694" s="3"/>
    </row>
    <row r="695" spans="1:19" ht="26.25" x14ac:dyDescent="0.25">
      <c r="A695" s="1">
        <v>40950</v>
      </c>
      <c r="B695" s="1">
        <v>40950</v>
      </c>
      <c r="C695" s="2">
        <f t="shared" si="10"/>
        <v>1</v>
      </c>
      <c r="D695" s="6" t="s">
        <v>2825</v>
      </c>
      <c r="E695" s="3" t="s">
        <v>2825</v>
      </c>
      <c r="F695" s="4" t="s">
        <v>58</v>
      </c>
      <c r="G695" s="3" t="s">
        <v>551</v>
      </c>
      <c r="H695" s="3" t="s">
        <v>552</v>
      </c>
      <c r="I695" s="3" t="s">
        <v>60</v>
      </c>
      <c r="J695" s="3" t="s">
        <v>61</v>
      </c>
      <c r="K695" s="3"/>
      <c r="L695" s="3"/>
      <c r="M695" s="3"/>
      <c r="N695" s="3"/>
      <c r="O695" s="3"/>
      <c r="P695" s="3"/>
      <c r="Q695" s="3"/>
      <c r="R695" s="3"/>
      <c r="S695" s="3"/>
    </row>
    <row r="696" spans="1:19" ht="51.75" x14ac:dyDescent="0.25">
      <c r="A696" s="1">
        <v>40950</v>
      </c>
      <c r="B696" s="1">
        <v>40950</v>
      </c>
      <c r="C696" s="2">
        <f t="shared" si="10"/>
        <v>1</v>
      </c>
      <c r="D696" s="6" t="s">
        <v>2826</v>
      </c>
      <c r="E696" s="3" t="s">
        <v>2827</v>
      </c>
      <c r="F696" s="4" t="s">
        <v>58</v>
      </c>
      <c r="G696" s="3" t="s">
        <v>2828</v>
      </c>
      <c r="H696" s="3" t="s">
        <v>2829</v>
      </c>
      <c r="I696" s="3" t="s">
        <v>865</v>
      </c>
      <c r="J696" s="3" t="s">
        <v>61</v>
      </c>
      <c r="K696" s="3"/>
      <c r="L696" s="3"/>
      <c r="M696" s="3"/>
      <c r="N696" s="3"/>
      <c r="O696" s="3"/>
      <c r="P696" s="3"/>
      <c r="Q696" s="3"/>
      <c r="R696" s="3"/>
      <c r="S696" s="3"/>
    </row>
    <row r="697" spans="1:19" ht="39" x14ac:dyDescent="0.25">
      <c r="A697" s="1">
        <v>40951</v>
      </c>
      <c r="B697" s="1">
        <v>40951</v>
      </c>
      <c r="C697" s="2">
        <f t="shared" si="10"/>
        <v>1</v>
      </c>
      <c r="D697" s="6" t="s">
        <v>2837</v>
      </c>
      <c r="E697" s="3" t="s">
        <v>2838</v>
      </c>
      <c r="F697" s="4" t="s">
        <v>58</v>
      </c>
      <c r="G697" s="3" t="s">
        <v>2170</v>
      </c>
      <c r="H697" s="3"/>
      <c r="I697" s="3" t="s">
        <v>518</v>
      </c>
      <c r="J697" s="3" t="s">
        <v>61</v>
      </c>
      <c r="K697" s="3"/>
      <c r="L697" s="3"/>
      <c r="M697" s="3"/>
      <c r="N697" s="3"/>
      <c r="O697" s="3"/>
      <c r="P697" s="3"/>
      <c r="Q697" s="3"/>
      <c r="R697" s="3"/>
      <c r="S697" s="3"/>
    </row>
    <row r="698" spans="1:19" ht="39" x14ac:dyDescent="0.25">
      <c r="A698" s="1">
        <v>40951</v>
      </c>
      <c r="B698" s="1">
        <v>40951</v>
      </c>
      <c r="C698" s="2">
        <f t="shared" si="10"/>
        <v>1</v>
      </c>
      <c r="D698" s="6" t="s">
        <v>2841</v>
      </c>
      <c r="E698" s="3" t="s">
        <v>2842</v>
      </c>
      <c r="F698" s="4" t="s">
        <v>58</v>
      </c>
      <c r="G698" s="3" t="s">
        <v>1127</v>
      </c>
      <c r="H698" s="3" t="s">
        <v>1128</v>
      </c>
      <c r="I698" s="3" t="s">
        <v>303</v>
      </c>
      <c r="J698" s="3" t="s">
        <v>61</v>
      </c>
      <c r="K698" s="3"/>
      <c r="L698" s="3"/>
      <c r="M698" s="3"/>
      <c r="N698" s="3"/>
      <c r="O698" s="3"/>
      <c r="P698" s="3"/>
      <c r="Q698" s="3"/>
      <c r="R698" s="3"/>
      <c r="S698" s="3"/>
    </row>
    <row r="699" spans="1:19" ht="39" x14ac:dyDescent="0.25">
      <c r="A699" s="1">
        <v>40952</v>
      </c>
      <c r="B699" s="1">
        <v>40952</v>
      </c>
      <c r="C699" s="2">
        <f t="shared" si="10"/>
        <v>1</v>
      </c>
      <c r="D699" s="6" t="s">
        <v>2843</v>
      </c>
      <c r="E699" s="3" t="s">
        <v>2844</v>
      </c>
      <c r="F699" s="4" t="s">
        <v>58</v>
      </c>
      <c r="G699" s="3" t="s">
        <v>1348</v>
      </c>
      <c r="H699" s="3" t="s">
        <v>2007</v>
      </c>
      <c r="I699" s="3" t="s">
        <v>105</v>
      </c>
      <c r="J699" s="3" t="s">
        <v>61</v>
      </c>
      <c r="K699" s="3"/>
      <c r="L699" s="3"/>
      <c r="M699" s="3"/>
      <c r="N699" s="3"/>
      <c r="O699" s="3"/>
      <c r="P699" s="3"/>
      <c r="Q699" s="3"/>
      <c r="R699" s="3"/>
      <c r="S699" s="3"/>
    </row>
    <row r="700" spans="1:19" ht="39" x14ac:dyDescent="0.25">
      <c r="A700" s="1">
        <v>40953</v>
      </c>
      <c r="B700" s="1">
        <v>40953</v>
      </c>
      <c r="C700" s="2">
        <f t="shared" si="10"/>
        <v>1</v>
      </c>
      <c r="D700" s="6" t="s">
        <v>2845</v>
      </c>
      <c r="E700" s="3" t="s">
        <v>2846</v>
      </c>
      <c r="F700" s="4" t="s">
        <v>58</v>
      </c>
      <c r="G700" s="3" t="s">
        <v>1348</v>
      </c>
      <c r="H700" s="3" t="s">
        <v>2007</v>
      </c>
      <c r="I700" s="3" t="s">
        <v>105</v>
      </c>
      <c r="J700" s="3" t="s">
        <v>61</v>
      </c>
      <c r="K700" s="3"/>
      <c r="L700" s="3"/>
      <c r="M700" s="3"/>
      <c r="N700" s="3"/>
      <c r="O700" s="3"/>
      <c r="P700" s="3"/>
      <c r="Q700" s="3"/>
      <c r="R700" s="3"/>
      <c r="S700" s="3"/>
    </row>
    <row r="701" spans="1:19" ht="51.75" x14ac:dyDescent="0.25">
      <c r="A701" s="1">
        <v>40954</v>
      </c>
      <c r="B701" s="1">
        <v>40954</v>
      </c>
      <c r="C701" s="2">
        <f t="shared" si="10"/>
        <v>1</v>
      </c>
      <c r="D701" s="6" t="s">
        <v>2847</v>
      </c>
      <c r="E701" s="3" t="s">
        <v>2848</v>
      </c>
      <c r="F701" s="4" t="s">
        <v>58</v>
      </c>
      <c r="G701" s="3" t="s">
        <v>1856</v>
      </c>
      <c r="H701" s="3" t="s">
        <v>1857</v>
      </c>
      <c r="I701" s="3" t="s">
        <v>85</v>
      </c>
      <c r="J701" s="3" t="s">
        <v>61</v>
      </c>
      <c r="K701" s="3"/>
      <c r="L701" s="3"/>
      <c r="M701" s="3"/>
      <c r="N701" s="3"/>
      <c r="O701" s="3"/>
      <c r="P701" s="3"/>
      <c r="Q701" s="3"/>
      <c r="R701" s="3"/>
      <c r="S701" s="3"/>
    </row>
    <row r="702" spans="1:19" ht="26.25" x14ac:dyDescent="0.25">
      <c r="A702" s="1">
        <v>40957</v>
      </c>
      <c r="B702" s="1">
        <v>40957</v>
      </c>
      <c r="C702" s="2">
        <f t="shared" si="10"/>
        <v>1</v>
      </c>
      <c r="D702" s="6" t="s">
        <v>2870</v>
      </c>
      <c r="E702" s="3" t="s">
        <v>2871</v>
      </c>
      <c r="F702" s="4" t="s">
        <v>58</v>
      </c>
      <c r="G702" s="3" t="s">
        <v>2076</v>
      </c>
      <c r="H702" s="3"/>
      <c r="I702" s="3" t="s">
        <v>1768</v>
      </c>
      <c r="J702" s="3" t="s">
        <v>61</v>
      </c>
      <c r="K702" s="3"/>
      <c r="L702" s="3"/>
      <c r="M702" s="3"/>
      <c r="N702" s="3"/>
      <c r="O702" s="3"/>
      <c r="P702" s="3"/>
      <c r="Q702" s="3"/>
      <c r="R702" s="3"/>
      <c r="S702" s="3"/>
    </row>
    <row r="703" spans="1:19" ht="39" x14ac:dyDescent="0.25">
      <c r="A703" s="1">
        <v>40957</v>
      </c>
      <c r="B703" s="1">
        <v>40957</v>
      </c>
      <c r="C703" s="2">
        <f t="shared" si="10"/>
        <v>1</v>
      </c>
      <c r="D703" s="6" t="s">
        <v>2872</v>
      </c>
      <c r="E703" s="3" t="s">
        <v>2873</v>
      </c>
      <c r="F703" s="4" t="s">
        <v>58</v>
      </c>
      <c r="G703" s="3" t="s">
        <v>1348</v>
      </c>
      <c r="H703" s="3" t="s">
        <v>2007</v>
      </c>
      <c r="I703" s="3" t="s">
        <v>105</v>
      </c>
      <c r="J703" s="3" t="s">
        <v>61</v>
      </c>
      <c r="K703" s="3"/>
      <c r="L703" s="3"/>
      <c r="M703" s="3"/>
      <c r="N703" s="3"/>
      <c r="O703" s="3"/>
      <c r="P703" s="3"/>
      <c r="Q703" s="3"/>
      <c r="R703" s="3"/>
      <c r="S703" s="3"/>
    </row>
    <row r="704" spans="1:19" ht="51.75" x14ac:dyDescent="0.25">
      <c r="A704" s="1">
        <v>40958</v>
      </c>
      <c r="B704" s="1">
        <v>40958</v>
      </c>
      <c r="C704" s="2">
        <f t="shared" si="10"/>
        <v>1</v>
      </c>
      <c r="D704" s="6" t="s">
        <v>2883</v>
      </c>
      <c r="E704" s="3" t="s">
        <v>2884</v>
      </c>
      <c r="F704" s="4" t="s">
        <v>58</v>
      </c>
      <c r="G704" s="3" t="s">
        <v>1127</v>
      </c>
      <c r="H704" s="3" t="s">
        <v>1128</v>
      </c>
      <c r="I704" s="3" t="s">
        <v>303</v>
      </c>
      <c r="J704" s="3" t="s">
        <v>61</v>
      </c>
      <c r="K704" s="3"/>
      <c r="L704" s="3"/>
      <c r="M704" s="3"/>
      <c r="N704" s="3"/>
      <c r="O704" s="3"/>
      <c r="P704" s="3"/>
      <c r="Q704" s="3"/>
      <c r="R704" s="3"/>
      <c r="S704" s="3"/>
    </row>
    <row r="705" spans="1:19" ht="64.5" x14ac:dyDescent="0.25">
      <c r="A705" s="1">
        <v>40962</v>
      </c>
      <c r="B705" s="1">
        <v>40962</v>
      </c>
      <c r="C705" s="2">
        <f t="shared" ref="C705:C768" si="11">(B705-A705)+1</f>
        <v>1</v>
      </c>
      <c r="D705" s="6" t="s">
        <v>2885</v>
      </c>
      <c r="E705" s="3" t="s">
        <v>2886</v>
      </c>
      <c r="F705" s="4" t="s">
        <v>58</v>
      </c>
      <c r="G705" s="3" t="s">
        <v>1178</v>
      </c>
      <c r="H705" s="3" t="s">
        <v>2887</v>
      </c>
      <c r="I705" s="3" t="s">
        <v>865</v>
      </c>
      <c r="J705" s="3" t="s">
        <v>61</v>
      </c>
      <c r="K705" s="3"/>
      <c r="L705" s="3"/>
      <c r="M705" s="3"/>
      <c r="N705" s="3"/>
      <c r="O705" s="3"/>
      <c r="P705" s="3"/>
      <c r="Q705" s="3"/>
      <c r="R705" s="3"/>
      <c r="S705" s="3"/>
    </row>
    <row r="706" spans="1:19" ht="26.25" x14ac:dyDescent="0.25">
      <c r="A706" s="1">
        <v>40962</v>
      </c>
      <c r="B706" s="1">
        <v>40962</v>
      </c>
      <c r="C706" s="2">
        <f t="shared" si="11"/>
        <v>1</v>
      </c>
      <c r="D706" s="6" t="s">
        <v>2888</v>
      </c>
      <c r="E706" s="3" t="s">
        <v>2889</v>
      </c>
      <c r="F706" s="4" t="s">
        <v>58</v>
      </c>
      <c r="G706" s="3" t="s">
        <v>1348</v>
      </c>
      <c r="H706" s="3" t="s">
        <v>2007</v>
      </c>
      <c r="I706" s="3" t="s">
        <v>105</v>
      </c>
      <c r="J706" s="3" t="s">
        <v>61</v>
      </c>
      <c r="K706" s="3"/>
      <c r="L706" s="3"/>
      <c r="M706" s="3"/>
      <c r="N706" s="3"/>
      <c r="O706" s="3"/>
      <c r="P706" s="3"/>
      <c r="Q706" s="3"/>
      <c r="R706" s="3"/>
      <c r="S706" s="3"/>
    </row>
    <row r="707" spans="1:19" ht="51.75" x14ac:dyDescent="0.25">
      <c r="A707" s="1">
        <v>40962</v>
      </c>
      <c r="B707" s="1">
        <v>40962</v>
      </c>
      <c r="C707" s="2">
        <f t="shared" si="11"/>
        <v>1</v>
      </c>
      <c r="D707" s="6" t="s">
        <v>2890</v>
      </c>
      <c r="E707" s="3" t="s">
        <v>2891</v>
      </c>
      <c r="F707" s="4" t="s">
        <v>58</v>
      </c>
      <c r="G707" s="3" t="s">
        <v>1856</v>
      </c>
      <c r="H707" s="3" t="s">
        <v>1857</v>
      </c>
      <c r="I707" s="3" t="s">
        <v>85</v>
      </c>
      <c r="J707" s="3" t="s">
        <v>61</v>
      </c>
      <c r="K707" s="3"/>
      <c r="L707" s="3"/>
      <c r="M707" s="3"/>
      <c r="N707" s="3"/>
      <c r="O707" s="3"/>
      <c r="P707" s="3"/>
      <c r="Q707" s="3"/>
      <c r="R707" s="3"/>
      <c r="S707" s="3"/>
    </row>
    <row r="708" spans="1:19" ht="51.75" x14ac:dyDescent="0.25">
      <c r="A708" s="1">
        <v>40965</v>
      </c>
      <c r="B708" s="1">
        <v>40965</v>
      </c>
      <c r="C708" s="2">
        <f t="shared" si="11"/>
        <v>1</v>
      </c>
      <c r="D708" s="6" t="s">
        <v>2921</v>
      </c>
      <c r="E708" s="3" t="s">
        <v>2922</v>
      </c>
      <c r="F708" s="4" t="s">
        <v>58</v>
      </c>
      <c r="G708" s="3" t="s">
        <v>1127</v>
      </c>
      <c r="H708" s="3" t="s">
        <v>1128</v>
      </c>
      <c r="I708" s="3" t="s">
        <v>303</v>
      </c>
      <c r="J708" s="3" t="s">
        <v>61</v>
      </c>
      <c r="K708" s="3"/>
      <c r="L708" s="3"/>
      <c r="M708" s="3"/>
      <c r="N708" s="3"/>
      <c r="O708" s="3"/>
      <c r="P708" s="3"/>
      <c r="Q708" s="3"/>
      <c r="R708" s="3"/>
      <c r="S708" s="3"/>
    </row>
    <row r="709" spans="1:19" ht="26.25" x14ac:dyDescent="0.25">
      <c r="A709" s="1">
        <v>40967</v>
      </c>
      <c r="B709" s="1">
        <v>40967</v>
      </c>
      <c r="C709" s="2">
        <f t="shared" si="11"/>
        <v>1</v>
      </c>
      <c r="D709" s="6" t="s">
        <v>2923</v>
      </c>
      <c r="E709" s="3" t="s">
        <v>2924</v>
      </c>
      <c r="F709" s="4" t="s">
        <v>58</v>
      </c>
      <c r="G709" s="3" t="s">
        <v>1127</v>
      </c>
      <c r="H709" s="3" t="s">
        <v>1128</v>
      </c>
      <c r="I709" s="3" t="s">
        <v>303</v>
      </c>
      <c r="J709" s="3" t="s">
        <v>61</v>
      </c>
      <c r="K709" s="3"/>
      <c r="L709" s="3"/>
      <c r="M709" s="3"/>
      <c r="N709" s="3"/>
      <c r="O709" s="3"/>
      <c r="P709" s="3"/>
      <c r="Q709" s="3"/>
      <c r="R709" s="3"/>
      <c r="S709" s="3"/>
    </row>
    <row r="710" spans="1:19" ht="26.25" x14ac:dyDescent="0.25">
      <c r="A710" s="1">
        <v>40968</v>
      </c>
      <c r="B710" s="1">
        <v>40968</v>
      </c>
      <c r="C710" s="2">
        <f t="shared" si="11"/>
        <v>1</v>
      </c>
      <c r="D710" s="6" t="s">
        <v>2923</v>
      </c>
      <c r="E710" s="3" t="s">
        <v>2926</v>
      </c>
      <c r="F710" s="4" t="s">
        <v>58</v>
      </c>
      <c r="G710" s="3" t="s">
        <v>1127</v>
      </c>
      <c r="H710" s="3" t="s">
        <v>1128</v>
      </c>
      <c r="I710" s="3" t="s">
        <v>303</v>
      </c>
      <c r="J710" s="3" t="s">
        <v>61</v>
      </c>
      <c r="K710" s="3"/>
      <c r="L710" s="3"/>
      <c r="M710" s="3"/>
      <c r="N710" s="3"/>
      <c r="O710" s="3"/>
      <c r="P710" s="3"/>
      <c r="Q710" s="3"/>
      <c r="R710" s="3"/>
      <c r="S710" s="3"/>
    </row>
    <row r="711" spans="1:19" ht="51.75" x14ac:dyDescent="0.25">
      <c r="A711" s="1">
        <v>40970</v>
      </c>
      <c r="B711" s="1">
        <v>40970</v>
      </c>
      <c r="C711" s="2">
        <f t="shared" si="11"/>
        <v>1</v>
      </c>
      <c r="D711" s="6" t="s">
        <v>2927</v>
      </c>
      <c r="E711" s="3" t="s">
        <v>2928</v>
      </c>
      <c r="F711" s="4" t="s">
        <v>58</v>
      </c>
      <c r="G711" s="3" t="s">
        <v>1856</v>
      </c>
      <c r="H711" s="3" t="s">
        <v>1857</v>
      </c>
      <c r="I711" s="3" t="s">
        <v>85</v>
      </c>
      <c r="J711" s="3" t="s">
        <v>61</v>
      </c>
      <c r="K711" s="3"/>
      <c r="L711" s="3"/>
      <c r="M711" s="3"/>
      <c r="N711" s="3"/>
      <c r="O711" s="3"/>
      <c r="P711" s="3"/>
      <c r="Q711" s="3"/>
      <c r="R711" s="3"/>
      <c r="S711" s="3"/>
    </row>
    <row r="712" spans="1:19" ht="39" x14ac:dyDescent="0.25">
      <c r="A712" s="1">
        <v>40970</v>
      </c>
      <c r="B712" s="1">
        <v>40970</v>
      </c>
      <c r="C712" s="2">
        <f t="shared" si="11"/>
        <v>1</v>
      </c>
      <c r="D712" s="6" t="s">
        <v>2929</v>
      </c>
      <c r="E712" s="3" t="s">
        <v>2930</v>
      </c>
      <c r="F712" s="4" t="s">
        <v>58</v>
      </c>
      <c r="G712" s="3" t="s">
        <v>1127</v>
      </c>
      <c r="H712" s="3" t="s">
        <v>1128</v>
      </c>
      <c r="I712" s="3" t="s">
        <v>303</v>
      </c>
      <c r="J712" s="3" t="s">
        <v>61</v>
      </c>
      <c r="K712" s="3"/>
      <c r="L712" s="3"/>
      <c r="M712" s="3"/>
      <c r="N712" s="3"/>
      <c r="O712" s="3"/>
      <c r="P712" s="3"/>
      <c r="Q712" s="3"/>
      <c r="R712" s="3"/>
      <c r="S712" s="3"/>
    </row>
    <row r="713" spans="1:19" ht="26.25" x14ac:dyDescent="0.25">
      <c r="A713" s="1">
        <v>40971</v>
      </c>
      <c r="B713" s="1">
        <v>40971</v>
      </c>
      <c r="C713" s="2">
        <f t="shared" si="11"/>
        <v>1</v>
      </c>
      <c r="D713" s="6" t="s">
        <v>1292</v>
      </c>
      <c r="E713" s="3" t="s">
        <v>1292</v>
      </c>
      <c r="F713" s="4" t="s">
        <v>58</v>
      </c>
      <c r="G713" s="3" t="s">
        <v>2933</v>
      </c>
      <c r="H713" s="3"/>
      <c r="I713" s="3" t="s">
        <v>60</v>
      </c>
      <c r="J713" s="3" t="s">
        <v>61</v>
      </c>
      <c r="K713" s="3"/>
      <c r="L713" s="3"/>
      <c r="M713" s="3"/>
      <c r="N713" s="3"/>
      <c r="O713" s="3"/>
      <c r="P713" s="3"/>
      <c r="Q713" s="3"/>
      <c r="R713" s="3"/>
      <c r="S713" s="3"/>
    </row>
    <row r="714" spans="1:19" ht="26.25" x14ac:dyDescent="0.25">
      <c r="A714" s="1">
        <v>40977</v>
      </c>
      <c r="B714" s="1">
        <v>40977</v>
      </c>
      <c r="C714" s="2">
        <f t="shared" si="11"/>
        <v>1</v>
      </c>
      <c r="D714" s="6" t="s">
        <v>1564</v>
      </c>
      <c r="E714" s="3" t="s">
        <v>1564</v>
      </c>
      <c r="F714" s="4" t="s">
        <v>58</v>
      </c>
      <c r="G714" s="3" t="s">
        <v>297</v>
      </c>
      <c r="H714" s="3"/>
      <c r="I714" s="3" t="s">
        <v>60</v>
      </c>
      <c r="J714" s="3" t="s">
        <v>61</v>
      </c>
      <c r="K714" s="3"/>
      <c r="L714" s="3"/>
      <c r="M714" s="3"/>
      <c r="N714" s="3"/>
      <c r="O714" s="3"/>
      <c r="P714" s="3"/>
      <c r="Q714" s="3"/>
      <c r="R714" s="3"/>
      <c r="S714" s="3"/>
    </row>
    <row r="715" spans="1:19" ht="26.25" x14ac:dyDescent="0.25">
      <c r="A715" s="1">
        <v>40978</v>
      </c>
      <c r="B715" s="1">
        <v>40978</v>
      </c>
      <c r="C715" s="2">
        <f t="shared" si="11"/>
        <v>1</v>
      </c>
      <c r="D715" s="6" t="s">
        <v>2946</v>
      </c>
      <c r="E715" s="3" t="s">
        <v>2946</v>
      </c>
      <c r="F715" s="4" t="s">
        <v>58</v>
      </c>
      <c r="G715" s="3" t="s">
        <v>2947</v>
      </c>
      <c r="H715" s="3" t="s">
        <v>552</v>
      </c>
      <c r="I715" s="3" t="s">
        <v>2948</v>
      </c>
      <c r="J715" s="3" t="s">
        <v>61</v>
      </c>
      <c r="K715" s="3"/>
      <c r="L715" s="3"/>
      <c r="M715" s="3"/>
      <c r="N715" s="3"/>
      <c r="O715" s="3"/>
      <c r="P715" s="3"/>
      <c r="Q715" s="3"/>
      <c r="R715" s="3"/>
      <c r="S715" s="3"/>
    </row>
    <row r="716" spans="1:19" ht="39" x14ac:dyDescent="0.25">
      <c r="A716" s="1">
        <v>40978</v>
      </c>
      <c r="B716" s="1">
        <v>40978</v>
      </c>
      <c r="C716" s="2">
        <f t="shared" si="11"/>
        <v>1</v>
      </c>
      <c r="D716" s="6" t="s">
        <v>2949</v>
      </c>
      <c r="E716" s="3" t="s">
        <v>2950</v>
      </c>
      <c r="F716" s="4" t="s">
        <v>58</v>
      </c>
      <c r="G716" s="3" t="s">
        <v>215</v>
      </c>
      <c r="H716" s="3"/>
      <c r="I716" s="3" t="s">
        <v>2951</v>
      </c>
      <c r="J716" s="3" t="s">
        <v>61</v>
      </c>
      <c r="K716" s="3"/>
      <c r="L716" s="3"/>
      <c r="M716" s="3"/>
      <c r="N716" s="3"/>
      <c r="O716" s="3"/>
      <c r="P716" s="3"/>
      <c r="Q716" s="3"/>
      <c r="R716" s="3"/>
      <c r="S716" s="3"/>
    </row>
    <row r="717" spans="1:19" ht="26.25" x14ac:dyDescent="0.25">
      <c r="A717" s="1">
        <v>40978</v>
      </c>
      <c r="B717" s="1">
        <v>40978</v>
      </c>
      <c r="C717" s="2">
        <f t="shared" si="11"/>
        <v>1</v>
      </c>
      <c r="D717" s="6" t="s">
        <v>1636</v>
      </c>
      <c r="E717" s="3" t="s">
        <v>1636</v>
      </c>
      <c r="F717" s="4" t="s">
        <v>58</v>
      </c>
      <c r="G717" s="3" t="s">
        <v>297</v>
      </c>
      <c r="H717" s="3"/>
      <c r="I717" s="3" t="s">
        <v>60</v>
      </c>
      <c r="J717" s="3" t="s">
        <v>61</v>
      </c>
      <c r="K717" s="3"/>
      <c r="L717" s="3"/>
      <c r="M717" s="3"/>
      <c r="N717" s="3"/>
      <c r="O717" s="3"/>
      <c r="P717" s="3"/>
      <c r="Q717" s="3"/>
      <c r="R717" s="3"/>
      <c r="S717" s="3"/>
    </row>
    <row r="718" spans="1:19" ht="51.75" x14ac:dyDescent="0.25">
      <c r="A718" s="1">
        <v>40979</v>
      </c>
      <c r="B718" s="1">
        <v>40979</v>
      </c>
      <c r="C718" s="2">
        <f t="shared" si="11"/>
        <v>1</v>
      </c>
      <c r="D718" s="6" t="s">
        <v>2955</v>
      </c>
      <c r="E718" s="3" t="s">
        <v>2956</v>
      </c>
      <c r="F718" s="4" t="s">
        <v>58</v>
      </c>
      <c r="G718" s="3" t="s">
        <v>1127</v>
      </c>
      <c r="H718" s="3" t="s">
        <v>1128</v>
      </c>
      <c r="I718" s="3" t="s">
        <v>303</v>
      </c>
      <c r="J718" s="3" t="s">
        <v>61</v>
      </c>
      <c r="K718" s="3"/>
      <c r="L718" s="3"/>
      <c r="M718" s="3"/>
      <c r="N718" s="3"/>
      <c r="O718" s="3"/>
      <c r="P718" s="3"/>
      <c r="Q718" s="3"/>
      <c r="R718" s="3"/>
      <c r="S718" s="3"/>
    </row>
    <row r="719" spans="1:19" ht="51.75" x14ac:dyDescent="0.25">
      <c r="A719" s="1">
        <v>40980</v>
      </c>
      <c r="B719" s="1">
        <v>40980</v>
      </c>
      <c r="C719" s="2">
        <f t="shared" si="11"/>
        <v>1</v>
      </c>
      <c r="D719" s="6" t="s">
        <v>2957</v>
      </c>
      <c r="E719" s="3" t="s">
        <v>2958</v>
      </c>
      <c r="F719" s="4" t="s">
        <v>58</v>
      </c>
      <c r="G719" s="3" t="s">
        <v>2959</v>
      </c>
      <c r="H719" s="3" t="s">
        <v>2960</v>
      </c>
      <c r="I719" s="3" t="s">
        <v>865</v>
      </c>
      <c r="J719" s="3" t="s">
        <v>61</v>
      </c>
      <c r="K719" s="3"/>
      <c r="L719" s="3"/>
      <c r="M719" s="3"/>
      <c r="N719" s="3"/>
      <c r="O719" s="3"/>
      <c r="P719" s="3"/>
      <c r="Q719" s="3"/>
      <c r="R719" s="3"/>
      <c r="S719" s="3"/>
    </row>
    <row r="720" spans="1:19" ht="26.25" x14ac:dyDescent="0.25">
      <c r="A720" s="1">
        <v>40981</v>
      </c>
      <c r="B720" s="1">
        <v>40981</v>
      </c>
      <c r="C720" s="2">
        <f t="shared" si="11"/>
        <v>1</v>
      </c>
      <c r="D720" s="6" t="s">
        <v>2966</v>
      </c>
      <c r="E720" s="3" t="s">
        <v>2967</v>
      </c>
      <c r="F720" s="4" t="s">
        <v>58</v>
      </c>
      <c r="G720" s="3" t="s">
        <v>2234</v>
      </c>
      <c r="H720" s="3"/>
      <c r="I720" s="3" t="s">
        <v>91</v>
      </c>
      <c r="J720" s="3" t="s">
        <v>61</v>
      </c>
      <c r="K720" s="3"/>
      <c r="L720" s="3"/>
      <c r="M720" s="3"/>
      <c r="N720" s="3"/>
      <c r="O720" s="3"/>
      <c r="P720" s="3"/>
      <c r="Q720" s="3"/>
      <c r="R720" s="3"/>
      <c r="S720" s="3"/>
    </row>
    <row r="721" spans="1:19" ht="39" x14ac:dyDescent="0.25">
      <c r="A721" s="1">
        <v>40982</v>
      </c>
      <c r="B721" s="1">
        <v>40982</v>
      </c>
      <c r="C721" s="2">
        <f t="shared" si="11"/>
        <v>1</v>
      </c>
      <c r="D721" s="6" t="s">
        <v>2731</v>
      </c>
      <c r="E721" s="3" t="s">
        <v>2971</v>
      </c>
      <c r="F721" s="4" t="s">
        <v>58</v>
      </c>
      <c r="G721" s="3" t="s">
        <v>2972</v>
      </c>
      <c r="H721" s="3" t="s">
        <v>2718</v>
      </c>
      <c r="I721" s="3" t="s">
        <v>865</v>
      </c>
      <c r="J721" s="3" t="s">
        <v>61</v>
      </c>
      <c r="K721" s="3"/>
      <c r="L721" s="3"/>
      <c r="M721" s="3"/>
      <c r="N721" s="3"/>
      <c r="O721" s="3"/>
      <c r="P721" s="3"/>
      <c r="Q721" s="3"/>
      <c r="R721" s="3"/>
      <c r="S721" s="3"/>
    </row>
    <row r="722" spans="1:19" ht="26.25" x14ac:dyDescent="0.25">
      <c r="A722" s="1">
        <v>40982</v>
      </c>
      <c r="B722" s="1">
        <v>40982</v>
      </c>
      <c r="C722" s="2">
        <f t="shared" si="11"/>
        <v>1</v>
      </c>
      <c r="D722" s="6" t="s">
        <v>2973</v>
      </c>
      <c r="E722" s="3" t="s">
        <v>2974</v>
      </c>
      <c r="F722" s="4" t="s">
        <v>58</v>
      </c>
      <c r="G722" s="3" t="s">
        <v>1348</v>
      </c>
      <c r="H722" s="3" t="s">
        <v>2007</v>
      </c>
      <c r="I722" s="3" t="s">
        <v>105</v>
      </c>
      <c r="J722" s="3" t="s">
        <v>61</v>
      </c>
      <c r="K722" s="3"/>
      <c r="L722" s="3"/>
      <c r="M722" s="3"/>
      <c r="N722" s="3"/>
      <c r="O722" s="3"/>
      <c r="P722" s="3"/>
      <c r="Q722" s="3"/>
      <c r="R722" s="3"/>
      <c r="S722" s="3"/>
    </row>
    <row r="723" spans="1:19" ht="39" x14ac:dyDescent="0.25">
      <c r="A723" s="1">
        <v>40985</v>
      </c>
      <c r="B723" s="1">
        <v>40985</v>
      </c>
      <c r="C723" s="2">
        <f t="shared" si="11"/>
        <v>1</v>
      </c>
      <c r="D723" s="6" t="s">
        <v>2975</v>
      </c>
      <c r="E723" s="3" t="s">
        <v>2976</v>
      </c>
      <c r="F723" s="4" t="s">
        <v>58</v>
      </c>
      <c r="G723" s="3" t="s">
        <v>462</v>
      </c>
      <c r="H723" s="3" t="s">
        <v>463</v>
      </c>
      <c r="I723" s="3" t="s">
        <v>464</v>
      </c>
      <c r="J723" s="3" t="s">
        <v>61</v>
      </c>
      <c r="K723" s="3"/>
      <c r="L723" s="3"/>
      <c r="M723" s="3"/>
      <c r="N723" s="3"/>
      <c r="O723" s="3"/>
      <c r="P723" s="3"/>
      <c r="Q723" s="3"/>
      <c r="R723" s="3"/>
      <c r="S723" s="3"/>
    </row>
    <row r="724" spans="1:19" ht="39" x14ac:dyDescent="0.25">
      <c r="A724" s="1">
        <v>40985</v>
      </c>
      <c r="B724" s="1">
        <v>40985</v>
      </c>
      <c r="C724" s="2">
        <f t="shared" si="11"/>
        <v>1</v>
      </c>
      <c r="D724" s="6" t="s">
        <v>2978</v>
      </c>
      <c r="E724" s="3" t="s">
        <v>2979</v>
      </c>
      <c r="F724" s="4" t="s">
        <v>58</v>
      </c>
      <c r="G724" s="3" t="s">
        <v>2980</v>
      </c>
      <c r="H724" s="3"/>
      <c r="I724" s="3" t="s">
        <v>303</v>
      </c>
      <c r="J724" s="3" t="s">
        <v>61</v>
      </c>
      <c r="K724" s="3"/>
      <c r="L724" s="3"/>
      <c r="M724" s="3"/>
      <c r="N724" s="3"/>
      <c r="O724" s="3"/>
      <c r="P724" s="3"/>
      <c r="Q724" s="3"/>
      <c r="R724" s="3"/>
      <c r="S724" s="3"/>
    </row>
    <row r="725" spans="1:19" ht="51.75" x14ac:dyDescent="0.25">
      <c r="A725" s="1">
        <v>40985</v>
      </c>
      <c r="B725" s="1">
        <v>40985</v>
      </c>
      <c r="C725" s="2">
        <f t="shared" si="11"/>
        <v>1</v>
      </c>
      <c r="D725" s="6" t="s">
        <v>2982</v>
      </c>
      <c r="E725" s="3" t="s">
        <v>2983</v>
      </c>
      <c r="F725" s="4" t="s">
        <v>58</v>
      </c>
      <c r="G725" s="3" t="s">
        <v>1178</v>
      </c>
      <c r="H725" s="3" t="s">
        <v>2718</v>
      </c>
      <c r="I725" s="3" t="s">
        <v>865</v>
      </c>
      <c r="J725" s="3" t="s">
        <v>61</v>
      </c>
      <c r="K725" s="3"/>
      <c r="L725" s="3"/>
      <c r="M725" s="3"/>
      <c r="N725" s="3"/>
      <c r="O725" s="3"/>
      <c r="P725" s="3"/>
      <c r="Q725" s="3"/>
      <c r="R725" s="3"/>
      <c r="S725" s="3"/>
    </row>
    <row r="726" spans="1:19" ht="51.75" x14ac:dyDescent="0.25">
      <c r="A726" s="16">
        <v>40985</v>
      </c>
      <c r="B726" s="16">
        <v>40985</v>
      </c>
      <c r="C726" s="2">
        <f t="shared" si="11"/>
        <v>1</v>
      </c>
      <c r="D726" s="27" t="s">
        <v>2984</v>
      </c>
      <c r="E726" s="7" t="s">
        <v>2985</v>
      </c>
      <c r="F726" s="4" t="s">
        <v>58</v>
      </c>
      <c r="G726" s="7" t="s">
        <v>2797</v>
      </c>
      <c r="H726" s="7" t="s">
        <v>2798</v>
      </c>
      <c r="I726" s="7" t="s">
        <v>71</v>
      </c>
      <c r="J726" s="7" t="s">
        <v>61</v>
      </c>
      <c r="K726" s="7"/>
      <c r="L726" s="7"/>
      <c r="M726" s="7"/>
      <c r="N726" s="7"/>
      <c r="O726" s="7"/>
      <c r="P726" s="7"/>
      <c r="Q726" s="7"/>
      <c r="R726" s="7"/>
      <c r="S726" s="7"/>
    </row>
    <row r="727" spans="1:19" ht="26.25" x14ac:dyDescent="0.25">
      <c r="A727" s="1">
        <v>40985</v>
      </c>
      <c r="B727" s="1">
        <v>40985</v>
      </c>
      <c r="C727" s="2">
        <f t="shared" si="11"/>
        <v>1</v>
      </c>
      <c r="D727" s="6" t="s">
        <v>2987</v>
      </c>
      <c r="E727" s="3" t="s">
        <v>2988</v>
      </c>
      <c r="F727" s="4" t="s">
        <v>58</v>
      </c>
      <c r="G727" s="3" t="s">
        <v>2989</v>
      </c>
      <c r="H727" s="3" t="s">
        <v>215</v>
      </c>
      <c r="I727" s="3" t="s">
        <v>993</v>
      </c>
      <c r="J727" s="3" t="s">
        <v>61</v>
      </c>
      <c r="K727" s="3"/>
      <c r="L727" s="3"/>
      <c r="M727" s="3"/>
      <c r="N727" s="3"/>
      <c r="O727" s="3"/>
      <c r="P727" s="3"/>
      <c r="Q727" s="3"/>
      <c r="R727" s="3"/>
      <c r="S727" s="3"/>
    </row>
    <row r="728" spans="1:19" ht="39" x14ac:dyDescent="0.25">
      <c r="A728" s="1">
        <v>40985</v>
      </c>
      <c r="B728" s="1">
        <v>40985</v>
      </c>
      <c r="C728" s="2">
        <f t="shared" si="11"/>
        <v>1</v>
      </c>
      <c r="D728" s="6" t="s">
        <v>2949</v>
      </c>
      <c r="E728" s="3" t="s">
        <v>2992</v>
      </c>
      <c r="F728" s="4" t="s">
        <v>58</v>
      </c>
      <c r="G728" s="3" t="s">
        <v>2993</v>
      </c>
      <c r="H728" s="3" t="s">
        <v>2994</v>
      </c>
      <c r="I728" s="3" t="s">
        <v>105</v>
      </c>
      <c r="J728" s="3" t="s">
        <v>61</v>
      </c>
      <c r="K728" s="3"/>
      <c r="L728" s="3"/>
      <c r="M728" s="3"/>
      <c r="N728" s="3"/>
      <c r="O728" s="3"/>
      <c r="P728" s="3"/>
      <c r="Q728" s="3"/>
      <c r="R728" s="3"/>
      <c r="S728" s="3"/>
    </row>
    <row r="729" spans="1:19" ht="26.25" x14ac:dyDescent="0.25">
      <c r="A729" s="1">
        <v>40985</v>
      </c>
      <c r="B729" s="1">
        <v>40985</v>
      </c>
      <c r="C729" s="2">
        <f t="shared" si="11"/>
        <v>1</v>
      </c>
      <c r="D729" s="6" t="s">
        <v>2949</v>
      </c>
      <c r="E729" s="3" t="s">
        <v>2996</v>
      </c>
      <c r="F729" s="4" t="s">
        <v>58</v>
      </c>
      <c r="G729" s="3" t="s">
        <v>271</v>
      </c>
      <c r="H729" s="3"/>
      <c r="I729" s="3" t="s">
        <v>210</v>
      </c>
      <c r="J729" s="3" t="s">
        <v>61</v>
      </c>
      <c r="K729" s="3"/>
      <c r="L729" s="3"/>
      <c r="M729" s="3"/>
      <c r="N729" s="3"/>
      <c r="O729" s="3"/>
      <c r="P729" s="3"/>
      <c r="Q729" s="3"/>
      <c r="R729" s="3"/>
      <c r="S729" s="3"/>
    </row>
    <row r="730" spans="1:19" ht="39" x14ac:dyDescent="0.25">
      <c r="A730" s="1">
        <v>40985</v>
      </c>
      <c r="B730" s="1">
        <v>40985</v>
      </c>
      <c r="C730" s="2">
        <f t="shared" si="11"/>
        <v>1</v>
      </c>
      <c r="D730" s="6" t="s">
        <v>2998</v>
      </c>
      <c r="E730" s="3" t="s">
        <v>2999</v>
      </c>
      <c r="F730" s="4" t="s">
        <v>58</v>
      </c>
      <c r="G730" s="3" t="s">
        <v>3000</v>
      </c>
      <c r="H730" s="3" t="s">
        <v>3001</v>
      </c>
      <c r="I730" s="3" t="s">
        <v>888</v>
      </c>
      <c r="J730" s="3" t="s">
        <v>61</v>
      </c>
      <c r="K730" s="3"/>
      <c r="L730" s="3"/>
      <c r="M730" s="3"/>
      <c r="N730" s="3"/>
      <c r="O730" s="3"/>
      <c r="P730" s="3"/>
      <c r="Q730" s="3"/>
      <c r="R730" s="3"/>
      <c r="S730" s="3"/>
    </row>
    <row r="731" spans="1:19" ht="39" x14ac:dyDescent="0.25">
      <c r="A731" s="1">
        <v>40994</v>
      </c>
      <c r="B731" s="1">
        <v>40994</v>
      </c>
      <c r="C731" s="2">
        <f t="shared" si="11"/>
        <v>1</v>
      </c>
      <c r="D731" s="6" t="s">
        <v>3015</v>
      </c>
      <c r="E731" s="3" t="s">
        <v>3016</v>
      </c>
      <c r="F731" s="4" t="s">
        <v>58</v>
      </c>
      <c r="G731" s="3" t="s">
        <v>1856</v>
      </c>
      <c r="H731" s="3" t="s">
        <v>1857</v>
      </c>
      <c r="I731" s="3" t="s">
        <v>85</v>
      </c>
      <c r="J731" s="3" t="s">
        <v>61</v>
      </c>
      <c r="K731" s="3"/>
      <c r="L731" s="3"/>
      <c r="M731" s="3"/>
      <c r="N731" s="3"/>
      <c r="O731" s="3"/>
      <c r="P731" s="3"/>
      <c r="Q731" s="3"/>
      <c r="R731" s="3"/>
      <c r="S731" s="3"/>
    </row>
    <row r="732" spans="1:19" ht="39" x14ac:dyDescent="0.25">
      <c r="A732" s="1">
        <v>40996</v>
      </c>
      <c r="B732" s="1">
        <v>40996</v>
      </c>
      <c r="C732" s="2">
        <f t="shared" si="11"/>
        <v>1</v>
      </c>
      <c r="D732" s="6" t="s">
        <v>2731</v>
      </c>
      <c r="E732" s="3" t="s">
        <v>3017</v>
      </c>
      <c r="F732" s="4" t="s">
        <v>58</v>
      </c>
      <c r="G732" s="3" t="s">
        <v>2972</v>
      </c>
      <c r="H732" s="3" t="s">
        <v>2718</v>
      </c>
      <c r="I732" s="3" t="s">
        <v>865</v>
      </c>
      <c r="J732" s="3" t="s">
        <v>61</v>
      </c>
      <c r="K732" s="3"/>
      <c r="L732" s="3"/>
      <c r="M732" s="3"/>
      <c r="N732" s="3"/>
      <c r="O732" s="3"/>
      <c r="P732" s="3"/>
      <c r="Q732" s="3"/>
      <c r="R732" s="3"/>
      <c r="S732" s="3"/>
    </row>
    <row r="733" spans="1:19" ht="26.25" x14ac:dyDescent="0.25">
      <c r="A733" s="1">
        <v>40996</v>
      </c>
      <c r="B733" s="1">
        <v>40996</v>
      </c>
      <c r="C733" s="2">
        <f t="shared" si="11"/>
        <v>1</v>
      </c>
      <c r="D733" s="6" t="s">
        <v>3019</v>
      </c>
      <c r="E733" s="3" t="s">
        <v>3020</v>
      </c>
      <c r="F733" s="4" t="s">
        <v>58</v>
      </c>
      <c r="G733" s="3" t="s">
        <v>3021</v>
      </c>
      <c r="H733" s="3" t="s">
        <v>3022</v>
      </c>
      <c r="I733" s="3" t="s">
        <v>894</v>
      </c>
      <c r="J733" s="3" t="s">
        <v>61</v>
      </c>
      <c r="K733" s="3"/>
      <c r="L733" s="3"/>
      <c r="M733" s="3"/>
      <c r="N733" s="3"/>
      <c r="O733" s="3"/>
      <c r="P733" s="3"/>
      <c r="Q733" s="3"/>
      <c r="R733" s="3"/>
      <c r="S733" s="3"/>
    </row>
    <row r="734" spans="1:19" ht="51.75" x14ac:dyDescent="0.25">
      <c r="A734" s="1">
        <v>40996</v>
      </c>
      <c r="B734" s="1">
        <v>40996</v>
      </c>
      <c r="C734" s="2">
        <f t="shared" si="11"/>
        <v>1</v>
      </c>
      <c r="D734" s="6" t="s">
        <v>3023</v>
      </c>
      <c r="E734" s="3" t="s">
        <v>3024</v>
      </c>
      <c r="F734" s="4" t="s">
        <v>58</v>
      </c>
      <c r="G734" s="3" t="s">
        <v>1211</v>
      </c>
      <c r="H734" s="3" t="s">
        <v>3025</v>
      </c>
      <c r="I734" s="3" t="s">
        <v>888</v>
      </c>
      <c r="J734" s="3" t="s">
        <v>61</v>
      </c>
      <c r="K734" s="3"/>
      <c r="L734" s="3"/>
      <c r="M734" s="3"/>
      <c r="N734" s="3"/>
      <c r="O734" s="3"/>
      <c r="P734" s="3"/>
      <c r="Q734" s="3"/>
      <c r="R734" s="3"/>
      <c r="S734" s="3"/>
    </row>
    <row r="735" spans="1:19" ht="39" x14ac:dyDescent="0.25">
      <c r="A735" s="1">
        <v>40999</v>
      </c>
      <c r="B735" s="1">
        <v>40999</v>
      </c>
      <c r="C735" s="2">
        <f t="shared" si="11"/>
        <v>1</v>
      </c>
      <c r="D735" s="6" t="s">
        <v>3026</v>
      </c>
      <c r="E735" s="3" t="s">
        <v>3027</v>
      </c>
      <c r="F735" s="4" t="s">
        <v>58</v>
      </c>
      <c r="G735" s="3" t="s">
        <v>1772</v>
      </c>
      <c r="H735" s="3" t="s">
        <v>1773</v>
      </c>
      <c r="I735" s="3" t="s">
        <v>1774</v>
      </c>
      <c r="J735" s="3" t="s">
        <v>61</v>
      </c>
      <c r="K735" s="3"/>
      <c r="L735" s="3"/>
      <c r="M735" s="3"/>
      <c r="N735" s="3"/>
      <c r="O735" s="3"/>
      <c r="P735" s="3"/>
      <c r="Q735" s="3"/>
      <c r="R735" s="3"/>
      <c r="S735" s="3"/>
    </row>
    <row r="736" spans="1:19" ht="26.25" x14ac:dyDescent="0.25">
      <c r="A736" s="1">
        <v>40999</v>
      </c>
      <c r="B736" s="1">
        <v>40999</v>
      </c>
      <c r="C736" s="2">
        <f t="shared" si="11"/>
        <v>1</v>
      </c>
      <c r="D736" s="6" t="s">
        <v>3028</v>
      </c>
      <c r="E736" s="3" t="s">
        <v>3029</v>
      </c>
      <c r="F736" s="4" t="s">
        <v>58</v>
      </c>
      <c r="G736" s="3" t="s">
        <v>1348</v>
      </c>
      <c r="H736" s="3" t="s">
        <v>2007</v>
      </c>
      <c r="I736" s="3" t="s">
        <v>105</v>
      </c>
      <c r="J736" s="3" t="s">
        <v>61</v>
      </c>
      <c r="K736" s="3"/>
      <c r="L736" s="3"/>
      <c r="M736" s="3"/>
      <c r="N736" s="3"/>
      <c r="O736" s="3"/>
      <c r="P736" s="3"/>
      <c r="Q736" s="3"/>
      <c r="R736" s="3"/>
      <c r="S736" s="3"/>
    </row>
    <row r="737" spans="1:19" ht="51.75" x14ac:dyDescent="0.25">
      <c r="A737" s="1">
        <v>40999</v>
      </c>
      <c r="B737" s="1">
        <v>40999</v>
      </c>
      <c r="C737" s="2">
        <f t="shared" si="11"/>
        <v>1</v>
      </c>
      <c r="D737" s="6" t="s">
        <v>3030</v>
      </c>
      <c r="E737" s="3" t="s">
        <v>3031</v>
      </c>
      <c r="F737" s="4" t="s">
        <v>58</v>
      </c>
      <c r="G737" s="3" t="s">
        <v>3032</v>
      </c>
      <c r="H737" s="3" t="s">
        <v>3033</v>
      </c>
      <c r="I737" s="3" t="s">
        <v>85</v>
      </c>
      <c r="J737" s="3" t="s">
        <v>61</v>
      </c>
      <c r="K737" s="3"/>
      <c r="L737" s="3"/>
      <c r="M737" s="3"/>
      <c r="N737" s="3"/>
      <c r="O737" s="3"/>
      <c r="P737" s="3"/>
      <c r="Q737" s="3"/>
      <c r="R737" s="3"/>
      <c r="S737" s="3"/>
    </row>
    <row r="738" spans="1:19" ht="39" x14ac:dyDescent="0.25">
      <c r="A738" s="1">
        <v>40999</v>
      </c>
      <c r="B738" s="1">
        <v>40999</v>
      </c>
      <c r="C738" s="2">
        <f t="shared" si="11"/>
        <v>1</v>
      </c>
      <c r="D738" s="6" t="s">
        <v>3035</v>
      </c>
      <c r="E738" s="3" t="s">
        <v>3035</v>
      </c>
      <c r="F738" s="4" t="s">
        <v>58</v>
      </c>
      <c r="G738" s="3" t="s">
        <v>810</v>
      </c>
      <c r="H738" s="3" t="s">
        <v>811</v>
      </c>
      <c r="I738" s="3" t="s">
        <v>60</v>
      </c>
      <c r="J738" s="3" t="s">
        <v>61</v>
      </c>
      <c r="K738" s="3"/>
      <c r="L738" s="3"/>
      <c r="M738" s="3"/>
      <c r="N738" s="3"/>
      <c r="O738" s="3"/>
      <c r="P738" s="3"/>
      <c r="Q738" s="3"/>
      <c r="R738" s="3"/>
      <c r="S738" s="3"/>
    </row>
    <row r="739" spans="1:19" ht="51.75" x14ac:dyDescent="0.25">
      <c r="A739" s="1">
        <v>41005</v>
      </c>
      <c r="B739" s="1">
        <v>41005</v>
      </c>
      <c r="C739" s="2">
        <f t="shared" si="11"/>
        <v>1</v>
      </c>
      <c r="D739" s="6" t="s">
        <v>3039</v>
      </c>
      <c r="E739" s="3" t="s">
        <v>3040</v>
      </c>
      <c r="F739" s="4" t="s">
        <v>58</v>
      </c>
      <c r="G739" s="3" t="s">
        <v>3038</v>
      </c>
      <c r="H739" s="3"/>
      <c r="I739" s="3" t="s">
        <v>978</v>
      </c>
      <c r="J739" s="3" t="s">
        <v>61</v>
      </c>
      <c r="K739" s="3"/>
      <c r="L739" s="3"/>
      <c r="M739" s="3"/>
      <c r="N739" s="3"/>
      <c r="O739" s="3"/>
      <c r="P739" s="3"/>
      <c r="Q739" s="3"/>
      <c r="R739" s="3"/>
      <c r="S739" s="3"/>
    </row>
    <row r="740" spans="1:19" ht="39" x14ac:dyDescent="0.25">
      <c r="A740" s="1">
        <v>41011</v>
      </c>
      <c r="B740" s="1">
        <v>41011</v>
      </c>
      <c r="C740" s="2">
        <f t="shared" si="11"/>
        <v>1</v>
      </c>
      <c r="D740" s="6" t="s">
        <v>3050</v>
      </c>
      <c r="E740" s="3" t="s">
        <v>3051</v>
      </c>
      <c r="F740" s="4" t="s">
        <v>58</v>
      </c>
      <c r="G740" s="3" t="s">
        <v>3052</v>
      </c>
      <c r="H740" s="3" t="s">
        <v>2718</v>
      </c>
      <c r="I740" s="3" t="s">
        <v>865</v>
      </c>
      <c r="J740" s="3" t="s">
        <v>61</v>
      </c>
      <c r="K740" s="3"/>
      <c r="L740" s="3"/>
      <c r="M740" s="3"/>
      <c r="N740" s="3"/>
      <c r="O740" s="3"/>
      <c r="P740" s="3"/>
      <c r="Q740" s="3"/>
      <c r="R740" s="3"/>
      <c r="S740" s="3"/>
    </row>
    <row r="741" spans="1:19" ht="26.25" x14ac:dyDescent="0.25">
      <c r="A741" s="1">
        <v>41013</v>
      </c>
      <c r="B741" s="1">
        <v>41013</v>
      </c>
      <c r="C741" s="2">
        <f t="shared" si="11"/>
        <v>1</v>
      </c>
      <c r="D741" s="6" t="s">
        <v>3061</v>
      </c>
      <c r="E741" s="3" t="s">
        <v>3061</v>
      </c>
      <c r="F741" s="4" t="s">
        <v>58</v>
      </c>
      <c r="G741" s="3" t="s">
        <v>2947</v>
      </c>
      <c r="H741" s="3" t="s">
        <v>552</v>
      </c>
      <c r="I741" s="3" t="s">
        <v>60</v>
      </c>
      <c r="J741" s="3" t="s">
        <v>61</v>
      </c>
      <c r="K741" s="3"/>
      <c r="L741" s="3"/>
      <c r="M741" s="3"/>
      <c r="N741" s="3"/>
      <c r="O741" s="3"/>
      <c r="P741" s="3"/>
      <c r="Q741" s="3"/>
      <c r="R741" s="3"/>
      <c r="S741" s="3"/>
    </row>
    <row r="742" spans="1:19" ht="51.75" x14ac:dyDescent="0.25">
      <c r="A742" s="1">
        <v>41013</v>
      </c>
      <c r="B742" s="1">
        <v>41013</v>
      </c>
      <c r="C742" s="2">
        <f t="shared" si="11"/>
        <v>1</v>
      </c>
      <c r="D742" s="6" t="s">
        <v>3062</v>
      </c>
      <c r="E742" s="3" t="s">
        <v>3063</v>
      </c>
      <c r="F742" s="4" t="s">
        <v>58</v>
      </c>
      <c r="G742" s="3" t="s">
        <v>3064</v>
      </c>
      <c r="H742" s="3"/>
      <c r="I742" s="3" t="s">
        <v>3065</v>
      </c>
      <c r="J742" s="3" t="s">
        <v>61</v>
      </c>
      <c r="K742" s="3"/>
      <c r="L742" s="3"/>
      <c r="M742" s="3"/>
      <c r="N742" s="3"/>
      <c r="O742" s="3"/>
      <c r="P742" s="3"/>
      <c r="Q742" s="3"/>
      <c r="R742" s="3"/>
      <c r="S742" s="3"/>
    </row>
    <row r="743" spans="1:19" ht="26.25" x14ac:dyDescent="0.25">
      <c r="A743" s="1">
        <v>41013</v>
      </c>
      <c r="B743" s="1">
        <v>41013</v>
      </c>
      <c r="C743" s="2">
        <f t="shared" si="11"/>
        <v>1</v>
      </c>
      <c r="D743" s="6" t="s">
        <v>1292</v>
      </c>
      <c r="E743" s="3" t="s">
        <v>1292</v>
      </c>
      <c r="F743" s="4" t="s">
        <v>58</v>
      </c>
      <c r="G743" s="3" t="s">
        <v>297</v>
      </c>
      <c r="H743" s="3"/>
      <c r="I743" s="3" t="s">
        <v>60</v>
      </c>
      <c r="J743" s="3" t="s">
        <v>61</v>
      </c>
      <c r="K743" s="3"/>
      <c r="L743" s="3"/>
      <c r="M743" s="3"/>
      <c r="N743" s="3"/>
      <c r="O743" s="3"/>
      <c r="P743" s="3"/>
      <c r="Q743" s="3"/>
      <c r="R743" s="3"/>
      <c r="S743" s="3"/>
    </row>
    <row r="744" spans="1:19" ht="39" x14ac:dyDescent="0.25">
      <c r="A744" s="1">
        <v>41014</v>
      </c>
      <c r="B744" s="1">
        <v>41014</v>
      </c>
      <c r="C744" s="2">
        <f t="shared" si="11"/>
        <v>1</v>
      </c>
      <c r="D744" s="6" t="s">
        <v>3069</v>
      </c>
      <c r="E744" s="3" t="s">
        <v>3070</v>
      </c>
      <c r="F744" s="4" t="s">
        <v>58</v>
      </c>
      <c r="G744" s="3" t="s">
        <v>1898</v>
      </c>
      <c r="H744" s="3" t="s">
        <v>3071</v>
      </c>
      <c r="I744" s="3" t="s">
        <v>3072</v>
      </c>
      <c r="J744" s="3" t="s">
        <v>61</v>
      </c>
      <c r="K744" s="3"/>
      <c r="L744" s="3"/>
      <c r="M744" s="3"/>
      <c r="N744" s="3"/>
      <c r="O744" s="3"/>
      <c r="P744" s="3"/>
      <c r="Q744" s="3"/>
      <c r="R744" s="3"/>
      <c r="S744" s="3"/>
    </row>
    <row r="745" spans="1:19" ht="39" x14ac:dyDescent="0.25">
      <c r="A745" s="1">
        <v>41016</v>
      </c>
      <c r="B745" s="1">
        <v>41016</v>
      </c>
      <c r="C745" s="2">
        <f t="shared" si="11"/>
        <v>1</v>
      </c>
      <c r="D745" s="6" t="s">
        <v>3074</v>
      </c>
      <c r="E745" s="3" t="s">
        <v>3075</v>
      </c>
      <c r="F745" s="4" t="s">
        <v>58</v>
      </c>
      <c r="G745" s="3" t="s">
        <v>2972</v>
      </c>
      <c r="H745" s="3" t="s">
        <v>2718</v>
      </c>
      <c r="I745" s="3" t="s">
        <v>865</v>
      </c>
      <c r="J745" s="3" t="s">
        <v>61</v>
      </c>
      <c r="K745" s="3"/>
      <c r="L745" s="3"/>
      <c r="M745" s="3"/>
      <c r="N745" s="3"/>
      <c r="O745" s="3"/>
      <c r="P745" s="3"/>
      <c r="Q745" s="3"/>
      <c r="R745" s="3"/>
      <c r="S745" s="3"/>
    </row>
    <row r="746" spans="1:19" ht="26.25" x14ac:dyDescent="0.25">
      <c r="A746" s="1">
        <v>41019</v>
      </c>
      <c r="B746" s="1">
        <v>41019</v>
      </c>
      <c r="C746" s="2">
        <f t="shared" si="11"/>
        <v>1</v>
      </c>
      <c r="D746" s="6" t="s">
        <v>1564</v>
      </c>
      <c r="E746" s="3" t="s">
        <v>1564</v>
      </c>
      <c r="F746" s="4" t="s">
        <v>58</v>
      </c>
      <c r="G746" s="3" t="s">
        <v>297</v>
      </c>
      <c r="H746" s="3"/>
      <c r="I746" s="3" t="s">
        <v>60</v>
      </c>
      <c r="J746" s="3" t="s">
        <v>61</v>
      </c>
      <c r="K746" s="3"/>
      <c r="L746" s="3"/>
      <c r="M746" s="3"/>
      <c r="N746" s="3"/>
      <c r="O746" s="3"/>
      <c r="P746" s="3"/>
      <c r="Q746" s="3"/>
      <c r="R746" s="3"/>
      <c r="S746" s="3"/>
    </row>
    <row r="747" spans="1:19" ht="39" x14ac:dyDescent="0.25">
      <c r="A747" s="1">
        <v>41020</v>
      </c>
      <c r="B747" s="1">
        <v>41020</v>
      </c>
      <c r="C747" s="2">
        <f t="shared" si="11"/>
        <v>1</v>
      </c>
      <c r="D747" s="6" t="s">
        <v>3085</v>
      </c>
      <c r="E747" s="3" t="s">
        <v>3086</v>
      </c>
      <c r="F747" s="4" t="s">
        <v>58</v>
      </c>
      <c r="G747" s="3" t="s">
        <v>3087</v>
      </c>
      <c r="H747" s="3" t="s">
        <v>3088</v>
      </c>
      <c r="I747" s="3" t="s">
        <v>865</v>
      </c>
      <c r="J747" s="3" t="s">
        <v>61</v>
      </c>
      <c r="K747" s="3"/>
      <c r="L747" s="3"/>
      <c r="M747" s="3"/>
      <c r="N747" s="3"/>
      <c r="O747" s="3"/>
      <c r="P747" s="3"/>
      <c r="Q747" s="3"/>
      <c r="R747" s="3"/>
      <c r="S747" s="3"/>
    </row>
    <row r="748" spans="1:19" ht="51.75" x14ac:dyDescent="0.25">
      <c r="A748" s="1">
        <v>41020</v>
      </c>
      <c r="B748" s="1">
        <v>41020</v>
      </c>
      <c r="C748" s="2">
        <f t="shared" si="11"/>
        <v>1</v>
      </c>
      <c r="D748" s="6" t="s">
        <v>3091</v>
      </c>
      <c r="E748" s="3" t="s">
        <v>3092</v>
      </c>
      <c r="F748" s="4" t="s">
        <v>58</v>
      </c>
      <c r="G748" s="3" t="s">
        <v>3093</v>
      </c>
      <c r="H748" s="3" t="s">
        <v>3094</v>
      </c>
      <c r="I748" s="3" t="s">
        <v>85</v>
      </c>
      <c r="J748" s="3" t="s">
        <v>61</v>
      </c>
      <c r="K748" s="3"/>
      <c r="L748" s="3"/>
      <c r="M748" s="3"/>
      <c r="N748" s="3"/>
      <c r="O748" s="3"/>
      <c r="P748" s="3"/>
      <c r="Q748" s="3"/>
      <c r="R748" s="3"/>
      <c r="S748" s="3"/>
    </row>
    <row r="749" spans="1:19" ht="26.25" x14ac:dyDescent="0.25">
      <c r="A749" s="1">
        <v>41020</v>
      </c>
      <c r="B749" s="1">
        <v>41020</v>
      </c>
      <c r="C749" s="2">
        <f t="shared" si="11"/>
        <v>1</v>
      </c>
      <c r="D749" s="6" t="s">
        <v>1636</v>
      </c>
      <c r="E749" s="3" t="s">
        <v>1636</v>
      </c>
      <c r="F749" s="4" t="s">
        <v>58</v>
      </c>
      <c r="G749" s="3" t="s">
        <v>297</v>
      </c>
      <c r="H749" s="3"/>
      <c r="I749" s="3" t="s">
        <v>60</v>
      </c>
      <c r="J749" s="3" t="s">
        <v>61</v>
      </c>
      <c r="K749" s="3"/>
      <c r="L749" s="3"/>
      <c r="M749" s="3"/>
      <c r="N749" s="3"/>
      <c r="O749" s="3"/>
      <c r="P749" s="3"/>
      <c r="Q749" s="3"/>
      <c r="R749" s="3"/>
      <c r="S749" s="3"/>
    </row>
    <row r="750" spans="1:19" ht="39" x14ac:dyDescent="0.25">
      <c r="A750" s="1">
        <v>41021</v>
      </c>
      <c r="B750" s="1">
        <v>41021</v>
      </c>
      <c r="C750" s="2">
        <f t="shared" si="11"/>
        <v>1</v>
      </c>
      <c r="D750" s="6" t="s">
        <v>3099</v>
      </c>
      <c r="E750" s="3" t="s">
        <v>3100</v>
      </c>
      <c r="F750" s="4" t="s">
        <v>58</v>
      </c>
      <c r="G750" s="3" t="s">
        <v>1327</v>
      </c>
      <c r="H750" s="3"/>
      <c r="I750" s="3" t="s">
        <v>60</v>
      </c>
      <c r="J750" s="3" t="s">
        <v>61</v>
      </c>
      <c r="K750" s="3"/>
      <c r="L750" s="3"/>
      <c r="M750" s="3"/>
      <c r="N750" s="3"/>
      <c r="O750" s="3"/>
      <c r="P750" s="3"/>
      <c r="Q750" s="3"/>
      <c r="R750" s="3"/>
      <c r="S750" s="3"/>
    </row>
    <row r="751" spans="1:19" ht="39" x14ac:dyDescent="0.25">
      <c r="A751" s="1">
        <v>41023</v>
      </c>
      <c r="B751" s="1">
        <v>41023</v>
      </c>
      <c r="C751" s="2">
        <f t="shared" si="11"/>
        <v>1</v>
      </c>
      <c r="D751" s="6" t="s">
        <v>3106</v>
      </c>
      <c r="E751" s="3" t="s">
        <v>3107</v>
      </c>
      <c r="F751" s="4" t="s">
        <v>58</v>
      </c>
      <c r="G751" s="3" t="s">
        <v>1127</v>
      </c>
      <c r="H751" s="3" t="s">
        <v>1128</v>
      </c>
      <c r="I751" s="3" t="s">
        <v>303</v>
      </c>
      <c r="J751" s="3" t="s">
        <v>61</v>
      </c>
      <c r="K751" s="3"/>
      <c r="L751" s="3"/>
      <c r="M751" s="3"/>
      <c r="N751" s="3"/>
      <c r="O751" s="3"/>
      <c r="P751" s="3"/>
      <c r="Q751" s="3"/>
      <c r="R751" s="3"/>
      <c r="S751" s="3"/>
    </row>
    <row r="752" spans="1:19" ht="39" x14ac:dyDescent="0.25">
      <c r="A752" s="1">
        <v>41026</v>
      </c>
      <c r="B752" s="1">
        <v>41026</v>
      </c>
      <c r="C752" s="2">
        <f t="shared" si="11"/>
        <v>1</v>
      </c>
      <c r="D752" s="6" t="s">
        <v>3108</v>
      </c>
      <c r="E752" s="3" t="s">
        <v>3109</v>
      </c>
      <c r="F752" s="4" t="s">
        <v>58</v>
      </c>
      <c r="G752" s="3" t="s">
        <v>271</v>
      </c>
      <c r="H752" s="3"/>
      <c r="I752" s="3" t="s">
        <v>210</v>
      </c>
      <c r="J752" s="3" t="s">
        <v>61</v>
      </c>
      <c r="K752" s="3"/>
      <c r="L752" s="3"/>
      <c r="M752" s="3"/>
      <c r="N752" s="3"/>
      <c r="O752" s="3"/>
      <c r="P752" s="3"/>
      <c r="Q752" s="3"/>
      <c r="R752" s="3"/>
      <c r="S752" s="3"/>
    </row>
    <row r="753" spans="1:19" ht="51.75" x14ac:dyDescent="0.25">
      <c r="A753" s="1">
        <v>41026</v>
      </c>
      <c r="B753" s="1">
        <v>41026</v>
      </c>
      <c r="C753" s="2">
        <f t="shared" si="11"/>
        <v>1</v>
      </c>
      <c r="D753" s="6" t="s">
        <v>3110</v>
      </c>
      <c r="E753" s="3" t="s">
        <v>3111</v>
      </c>
      <c r="F753" s="4" t="s">
        <v>58</v>
      </c>
      <c r="G753" s="3" t="s">
        <v>3112</v>
      </c>
      <c r="H753" s="3" t="s">
        <v>3113</v>
      </c>
      <c r="I753" s="3" t="s">
        <v>865</v>
      </c>
      <c r="J753" s="3" t="s">
        <v>61</v>
      </c>
      <c r="K753" s="3"/>
      <c r="L753" s="3"/>
      <c r="M753" s="3"/>
      <c r="N753" s="3"/>
      <c r="O753" s="3"/>
      <c r="P753" s="3"/>
      <c r="Q753" s="3"/>
      <c r="R753" s="3"/>
      <c r="S753" s="3"/>
    </row>
    <row r="754" spans="1:19" ht="39" x14ac:dyDescent="0.25">
      <c r="A754" s="1">
        <v>41027</v>
      </c>
      <c r="B754" s="1">
        <v>41027</v>
      </c>
      <c r="C754" s="2">
        <f t="shared" si="11"/>
        <v>1</v>
      </c>
      <c r="D754" s="6" t="s">
        <v>3140</v>
      </c>
      <c r="E754" s="3" t="s">
        <v>3141</v>
      </c>
      <c r="F754" s="4" t="s">
        <v>58</v>
      </c>
      <c r="G754" s="3" t="s">
        <v>3142</v>
      </c>
      <c r="H754" s="3"/>
      <c r="I754" s="3" t="s">
        <v>993</v>
      </c>
      <c r="J754" s="3" t="s">
        <v>61</v>
      </c>
      <c r="K754" s="3"/>
      <c r="L754" s="3"/>
      <c r="M754" s="3"/>
      <c r="N754" s="3"/>
      <c r="O754" s="3"/>
      <c r="P754" s="3"/>
      <c r="Q754" s="3"/>
      <c r="R754" s="3"/>
      <c r="S754" s="3"/>
    </row>
    <row r="755" spans="1:19" ht="26.25" x14ac:dyDescent="0.25">
      <c r="A755" s="1">
        <v>41027</v>
      </c>
      <c r="B755" s="1">
        <v>41027</v>
      </c>
      <c r="C755" s="2">
        <f t="shared" si="11"/>
        <v>1</v>
      </c>
      <c r="D755" s="6" t="s">
        <v>3146</v>
      </c>
      <c r="E755" s="3" t="s">
        <v>3147</v>
      </c>
      <c r="F755" s="4" t="s">
        <v>58</v>
      </c>
      <c r="G755" s="3" t="s">
        <v>3148</v>
      </c>
      <c r="H755" s="3" t="s">
        <v>3149</v>
      </c>
      <c r="I755" s="3" t="s">
        <v>3150</v>
      </c>
      <c r="J755" s="3" t="s">
        <v>61</v>
      </c>
      <c r="K755" s="3"/>
      <c r="L755" s="3"/>
      <c r="M755" s="3"/>
      <c r="N755" s="3"/>
      <c r="O755" s="3"/>
      <c r="P755" s="3"/>
      <c r="Q755" s="3"/>
      <c r="R755" s="3"/>
      <c r="S755" s="3"/>
    </row>
    <row r="756" spans="1:19" ht="39" x14ac:dyDescent="0.25">
      <c r="A756" s="1">
        <v>41027</v>
      </c>
      <c r="B756" s="1">
        <v>41027</v>
      </c>
      <c r="C756" s="2">
        <f t="shared" si="11"/>
        <v>1</v>
      </c>
      <c r="D756" s="6" t="s">
        <v>3153</v>
      </c>
      <c r="E756" s="3" t="s">
        <v>3153</v>
      </c>
      <c r="F756" s="4" t="s">
        <v>58</v>
      </c>
      <c r="G756" s="3" t="s">
        <v>3154</v>
      </c>
      <c r="H756" s="3" t="s">
        <v>3155</v>
      </c>
      <c r="I756" s="3" t="s">
        <v>60</v>
      </c>
      <c r="J756" s="3" t="s">
        <v>61</v>
      </c>
      <c r="K756" s="3"/>
      <c r="L756" s="3"/>
      <c r="M756" s="3"/>
      <c r="N756" s="3"/>
      <c r="O756" s="3"/>
      <c r="P756" s="3"/>
      <c r="Q756" s="3"/>
      <c r="R756" s="3"/>
      <c r="S756" s="3"/>
    </row>
    <row r="757" spans="1:19" ht="26.25" x14ac:dyDescent="0.25">
      <c r="A757" s="1">
        <v>41027</v>
      </c>
      <c r="B757" s="1">
        <v>41027</v>
      </c>
      <c r="C757" s="2">
        <f t="shared" si="11"/>
        <v>1</v>
      </c>
      <c r="D757" s="6" t="s">
        <v>3158</v>
      </c>
      <c r="E757" s="3" t="s">
        <v>2669</v>
      </c>
      <c r="F757" s="4" t="s">
        <v>58</v>
      </c>
      <c r="G757" s="3" t="s">
        <v>3159</v>
      </c>
      <c r="H757" s="3"/>
      <c r="I757" s="3" t="s">
        <v>978</v>
      </c>
      <c r="J757" s="3" t="s">
        <v>61</v>
      </c>
      <c r="K757" s="3"/>
      <c r="L757" s="3"/>
      <c r="M757" s="3"/>
      <c r="N757" s="3"/>
      <c r="O757" s="3"/>
      <c r="P757" s="3"/>
      <c r="Q757" s="3"/>
      <c r="R757" s="3"/>
      <c r="S757" s="3"/>
    </row>
    <row r="758" spans="1:19" ht="39" x14ac:dyDescent="0.25">
      <c r="A758" s="1">
        <v>41027</v>
      </c>
      <c r="B758" s="1">
        <v>41027</v>
      </c>
      <c r="C758" s="2">
        <f t="shared" si="11"/>
        <v>1</v>
      </c>
      <c r="D758" s="6" t="s">
        <v>3161</v>
      </c>
      <c r="E758" s="3" t="s">
        <v>3162</v>
      </c>
      <c r="F758" s="4" t="s">
        <v>58</v>
      </c>
      <c r="G758" s="3" t="s">
        <v>3163</v>
      </c>
      <c r="H758" s="3" t="s">
        <v>3164</v>
      </c>
      <c r="I758" s="3" t="s">
        <v>1303</v>
      </c>
      <c r="J758" s="3" t="s">
        <v>61</v>
      </c>
      <c r="K758" s="3"/>
      <c r="L758" s="3"/>
      <c r="M758" s="3"/>
      <c r="N758" s="3"/>
      <c r="O758" s="3"/>
      <c r="P758" s="3"/>
      <c r="Q758" s="3"/>
      <c r="R758" s="3"/>
      <c r="S758" s="3"/>
    </row>
    <row r="759" spans="1:19" ht="51.75" x14ac:dyDescent="0.25">
      <c r="A759" s="1">
        <v>41027</v>
      </c>
      <c r="B759" s="1">
        <v>41027</v>
      </c>
      <c r="C759" s="2">
        <f t="shared" si="11"/>
        <v>1</v>
      </c>
      <c r="D759" s="6" t="s">
        <v>3165</v>
      </c>
      <c r="E759" s="3" t="s">
        <v>3166</v>
      </c>
      <c r="F759" s="4" t="s">
        <v>58</v>
      </c>
      <c r="G759" s="3" t="s">
        <v>1178</v>
      </c>
      <c r="H759" s="3" t="s">
        <v>2718</v>
      </c>
      <c r="I759" s="3" t="s">
        <v>865</v>
      </c>
      <c r="J759" s="3" t="s">
        <v>61</v>
      </c>
      <c r="K759" s="3"/>
      <c r="L759" s="3"/>
      <c r="M759" s="3"/>
      <c r="N759" s="3"/>
      <c r="O759" s="3"/>
      <c r="P759" s="3"/>
      <c r="Q759" s="3"/>
      <c r="R759" s="3"/>
      <c r="S759" s="3"/>
    </row>
    <row r="760" spans="1:19" ht="39" x14ac:dyDescent="0.25">
      <c r="A760" s="1">
        <v>41027</v>
      </c>
      <c r="B760" s="1">
        <v>41027</v>
      </c>
      <c r="C760" s="2">
        <f t="shared" si="11"/>
        <v>1</v>
      </c>
      <c r="D760" s="6" t="s">
        <v>3168</v>
      </c>
      <c r="E760" s="3" t="s">
        <v>3169</v>
      </c>
      <c r="F760" s="4" t="s">
        <v>58</v>
      </c>
      <c r="G760" s="3" t="s">
        <v>3126</v>
      </c>
      <c r="H760" s="3"/>
      <c r="I760" s="3" t="s">
        <v>1303</v>
      </c>
      <c r="J760" s="3" t="s">
        <v>61</v>
      </c>
      <c r="K760" s="3"/>
      <c r="L760" s="3"/>
      <c r="M760" s="3"/>
      <c r="N760" s="3"/>
      <c r="O760" s="3"/>
      <c r="P760" s="3"/>
      <c r="Q760" s="3"/>
      <c r="R760" s="3"/>
      <c r="S760" s="3"/>
    </row>
    <row r="761" spans="1:19" ht="39" x14ac:dyDescent="0.25">
      <c r="A761" s="1">
        <v>41028</v>
      </c>
      <c r="B761" s="1">
        <v>41028</v>
      </c>
      <c r="C761" s="2">
        <f t="shared" si="11"/>
        <v>1</v>
      </c>
      <c r="D761" s="6" t="s">
        <v>3171</v>
      </c>
      <c r="E761" s="3" t="s">
        <v>3172</v>
      </c>
      <c r="F761" s="4" t="s">
        <v>58</v>
      </c>
      <c r="G761" s="3" t="s">
        <v>3173</v>
      </c>
      <c r="H761" s="3" t="s">
        <v>3174</v>
      </c>
      <c r="I761" s="3" t="s">
        <v>91</v>
      </c>
      <c r="J761" s="3" t="s">
        <v>61</v>
      </c>
      <c r="K761" s="3"/>
      <c r="L761" s="3"/>
      <c r="M761" s="3"/>
      <c r="N761" s="3"/>
      <c r="O761" s="3"/>
      <c r="P761" s="3"/>
      <c r="Q761" s="3"/>
      <c r="R761" s="3"/>
      <c r="S761" s="3"/>
    </row>
    <row r="762" spans="1:19" ht="51.75" x14ac:dyDescent="0.25">
      <c r="A762" s="1">
        <v>41028</v>
      </c>
      <c r="B762" s="1">
        <v>41028</v>
      </c>
      <c r="C762" s="2">
        <f t="shared" si="11"/>
        <v>1</v>
      </c>
      <c r="D762" s="6" t="s">
        <v>3176</v>
      </c>
      <c r="E762" s="3" t="s">
        <v>3177</v>
      </c>
      <c r="F762" s="4" t="s">
        <v>58</v>
      </c>
      <c r="G762" s="3" t="s">
        <v>1127</v>
      </c>
      <c r="H762" s="3" t="s">
        <v>1128</v>
      </c>
      <c r="I762" s="3" t="s">
        <v>303</v>
      </c>
      <c r="J762" s="3" t="s">
        <v>61</v>
      </c>
      <c r="K762" s="3"/>
      <c r="L762" s="3"/>
      <c r="M762" s="3"/>
      <c r="N762" s="3"/>
      <c r="O762" s="3"/>
      <c r="P762" s="3"/>
      <c r="Q762" s="3"/>
      <c r="R762" s="3"/>
      <c r="S762" s="3"/>
    </row>
    <row r="763" spans="1:19" ht="39" x14ac:dyDescent="0.25">
      <c r="A763" s="1">
        <v>41030</v>
      </c>
      <c r="B763" s="1">
        <v>41030</v>
      </c>
      <c r="C763" s="2">
        <f t="shared" si="11"/>
        <v>1</v>
      </c>
      <c r="D763" s="6" t="s">
        <v>3178</v>
      </c>
      <c r="E763" s="3" t="s">
        <v>3179</v>
      </c>
      <c r="F763" s="4" t="s">
        <v>58</v>
      </c>
      <c r="G763" s="3" t="s">
        <v>3180</v>
      </c>
      <c r="H763" s="3" t="s">
        <v>3181</v>
      </c>
      <c r="I763" s="3" t="s">
        <v>865</v>
      </c>
      <c r="J763" s="3" t="s">
        <v>61</v>
      </c>
      <c r="K763" s="3"/>
      <c r="L763" s="3"/>
      <c r="M763" s="3"/>
      <c r="N763" s="3"/>
      <c r="O763" s="3"/>
      <c r="P763" s="3"/>
      <c r="Q763" s="3"/>
      <c r="R763" s="3"/>
      <c r="S763" s="3"/>
    </row>
    <row r="764" spans="1:19" ht="51.75" x14ac:dyDescent="0.25">
      <c r="A764" s="1">
        <v>41031</v>
      </c>
      <c r="B764" s="1">
        <v>41031</v>
      </c>
      <c r="C764" s="2">
        <f t="shared" si="11"/>
        <v>1</v>
      </c>
      <c r="D764" s="6" t="s">
        <v>3189</v>
      </c>
      <c r="E764" s="3" t="s">
        <v>2985</v>
      </c>
      <c r="F764" s="4" t="s">
        <v>58</v>
      </c>
      <c r="G764" s="3" t="s">
        <v>2797</v>
      </c>
      <c r="H764" s="3" t="s">
        <v>2798</v>
      </c>
      <c r="I764" s="3" t="s">
        <v>71</v>
      </c>
      <c r="J764" s="3" t="s">
        <v>61</v>
      </c>
      <c r="K764" s="3"/>
      <c r="L764" s="3"/>
      <c r="M764" s="3"/>
      <c r="N764" s="3"/>
      <c r="O764" s="3"/>
      <c r="P764" s="3"/>
      <c r="Q764" s="3"/>
      <c r="R764" s="3"/>
      <c r="S764" s="3"/>
    </row>
    <row r="765" spans="1:19" ht="26.25" x14ac:dyDescent="0.25">
      <c r="A765" s="1">
        <v>41031</v>
      </c>
      <c r="B765" s="1">
        <v>41031</v>
      </c>
      <c r="C765" s="2">
        <f t="shared" si="11"/>
        <v>1</v>
      </c>
      <c r="D765" s="6" t="s">
        <v>3190</v>
      </c>
      <c r="E765" s="3" t="s">
        <v>3190</v>
      </c>
      <c r="F765" s="4" t="s">
        <v>58</v>
      </c>
      <c r="G765" s="3" t="s">
        <v>837</v>
      </c>
      <c r="H765" s="3"/>
      <c r="I765" s="3" t="s">
        <v>60</v>
      </c>
      <c r="J765" s="3" t="s">
        <v>61</v>
      </c>
      <c r="K765" s="3"/>
      <c r="L765" s="3"/>
      <c r="M765" s="3"/>
      <c r="N765" s="3"/>
      <c r="O765" s="3"/>
      <c r="P765" s="3"/>
      <c r="Q765" s="3"/>
      <c r="R765" s="3"/>
      <c r="S765" s="3"/>
    </row>
    <row r="766" spans="1:19" ht="51.75" x14ac:dyDescent="0.25">
      <c r="A766" s="1">
        <v>41034</v>
      </c>
      <c r="B766" s="1">
        <v>41034</v>
      </c>
      <c r="C766" s="2">
        <f t="shared" si="11"/>
        <v>1</v>
      </c>
      <c r="D766" s="6" t="s">
        <v>3214</v>
      </c>
      <c r="E766" s="3" t="s">
        <v>3215</v>
      </c>
      <c r="F766" s="4" t="s">
        <v>58</v>
      </c>
      <c r="G766" s="3" t="s">
        <v>3216</v>
      </c>
      <c r="H766" s="3" t="s">
        <v>3217</v>
      </c>
      <c r="I766" s="3" t="s">
        <v>303</v>
      </c>
      <c r="J766" s="3" t="s">
        <v>61</v>
      </c>
      <c r="K766" s="3"/>
      <c r="L766" s="3"/>
      <c r="M766" s="3"/>
      <c r="N766" s="3"/>
      <c r="O766" s="3"/>
      <c r="P766" s="3"/>
      <c r="Q766" s="3"/>
      <c r="R766" s="3"/>
      <c r="S766" s="3"/>
    </row>
    <row r="767" spans="1:19" x14ac:dyDescent="0.25">
      <c r="A767" s="1">
        <v>41034</v>
      </c>
      <c r="B767" s="1">
        <v>41034</v>
      </c>
      <c r="C767" s="2">
        <f t="shared" si="11"/>
        <v>1</v>
      </c>
      <c r="D767" s="6" t="s">
        <v>3221</v>
      </c>
      <c r="E767" s="3" t="s">
        <v>3222</v>
      </c>
      <c r="F767" s="4" t="s">
        <v>58</v>
      </c>
      <c r="G767" s="3" t="s">
        <v>3223</v>
      </c>
      <c r="H767" s="3"/>
      <c r="I767" s="3" t="s">
        <v>530</v>
      </c>
      <c r="J767" s="3" t="s">
        <v>61</v>
      </c>
      <c r="K767" s="3"/>
      <c r="L767" s="3"/>
      <c r="M767" s="3"/>
      <c r="N767" s="3"/>
      <c r="O767" s="3"/>
      <c r="P767" s="3"/>
      <c r="Q767" s="3"/>
      <c r="R767" s="3"/>
      <c r="S767" s="3"/>
    </row>
    <row r="768" spans="1:19" ht="26.25" x14ac:dyDescent="0.25">
      <c r="A768" s="1">
        <v>41034</v>
      </c>
      <c r="B768" s="1">
        <v>41034</v>
      </c>
      <c r="C768" s="2">
        <f t="shared" si="11"/>
        <v>1</v>
      </c>
      <c r="D768" s="6" t="s">
        <v>3226</v>
      </c>
      <c r="E768" s="3" t="s">
        <v>3227</v>
      </c>
      <c r="F768" s="4" t="s">
        <v>58</v>
      </c>
      <c r="G768" s="3" t="s">
        <v>3228</v>
      </c>
      <c r="H768" s="3"/>
      <c r="I768" s="3" t="s">
        <v>315</v>
      </c>
      <c r="J768" s="3" t="s">
        <v>61</v>
      </c>
      <c r="K768" s="3"/>
      <c r="L768" s="3"/>
      <c r="M768" s="3"/>
      <c r="N768" s="3"/>
      <c r="O768" s="3"/>
      <c r="P768" s="3"/>
      <c r="Q768" s="3"/>
      <c r="R768" s="3"/>
      <c r="S768" s="3"/>
    </row>
    <row r="769" spans="1:19" ht="26.25" x14ac:dyDescent="0.25">
      <c r="A769" s="1">
        <v>41035</v>
      </c>
      <c r="B769" s="1">
        <v>41035</v>
      </c>
      <c r="C769" s="2">
        <f t="shared" ref="C769:C832" si="12">(B769-A769)+1</f>
        <v>1</v>
      </c>
      <c r="D769" s="6" t="s">
        <v>3229</v>
      </c>
      <c r="E769" s="3" t="s">
        <v>3230</v>
      </c>
      <c r="F769" s="4" t="s">
        <v>58</v>
      </c>
      <c r="G769" s="3" t="s">
        <v>3231</v>
      </c>
      <c r="H769" s="3" t="s">
        <v>3232</v>
      </c>
      <c r="I769" s="3" t="s">
        <v>105</v>
      </c>
      <c r="J769" s="3" t="s">
        <v>61</v>
      </c>
      <c r="K769" s="3"/>
      <c r="L769" s="3"/>
      <c r="M769" s="3"/>
      <c r="N769" s="3"/>
      <c r="O769" s="3"/>
      <c r="P769" s="3"/>
      <c r="Q769" s="3"/>
      <c r="R769" s="3"/>
      <c r="S769" s="3"/>
    </row>
    <row r="770" spans="1:19" ht="64.5" x14ac:dyDescent="0.25">
      <c r="A770" s="1">
        <v>41035</v>
      </c>
      <c r="B770" s="1">
        <v>41035</v>
      </c>
      <c r="C770" s="2">
        <f t="shared" si="12"/>
        <v>1</v>
      </c>
      <c r="D770" s="6" t="s">
        <v>3234</v>
      </c>
      <c r="E770" s="3" t="s">
        <v>3235</v>
      </c>
      <c r="F770" s="4" t="s">
        <v>58</v>
      </c>
      <c r="G770" s="3" t="s">
        <v>3236</v>
      </c>
      <c r="H770" s="3" t="s">
        <v>3237</v>
      </c>
      <c r="I770" s="3" t="s">
        <v>3238</v>
      </c>
      <c r="J770" s="3" t="s">
        <v>61</v>
      </c>
      <c r="K770" s="3"/>
      <c r="L770" s="3"/>
      <c r="M770" s="3"/>
      <c r="N770" s="3"/>
      <c r="O770" s="3"/>
      <c r="P770" s="3"/>
      <c r="Q770" s="3"/>
      <c r="R770" s="3"/>
      <c r="S770" s="3"/>
    </row>
    <row r="771" spans="1:19" ht="51.75" x14ac:dyDescent="0.25">
      <c r="A771" s="1">
        <v>41035</v>
      </c>
      <c r="B771" s="1">
        <v>41035</v>
      </c>
      <c r="C771" s="2">
        <f t="shared" si="12"/>
        <v>1</v>
      </c>
      <c r="D771" s="6" t="s">
        <v>3242</v>
      </c>
      <c r="E771" s="3" t="s">
        <v>3243</v>
      </c>
      <c r="F771" s="4" t="s">
        <v>58</v>
      </c>
      <c r="G771" s="3" t="s">
        <v>3244</v>
      </c>
      <c r="H771" s="3"/>
      <c r="I771" s="3" t="s">
        <v>865</v>
      </c>
      <c r="J771" s="3" t="s">
        <v>61</v>
      </c>
      <c r="K771" s="3"/>
      <c r="L771" s="3"/>
      <c r="M771" s="3"/>
      <c r="N771" s="3"/>
      <c r="O771" s="3"/>
      <c r="P771" s="3"/>
      <c r="Q771" s="3"/>
      <c r="R771" s="3"/>
      <c r="S771" s="3"/>
    </row>
    <row r="772" spans="1:19" ht="39" x14ac:dyDescent="0.25">
      <c r="A772" s="1">
        <v>41035</v>
      </c>
      <c r="B772" s="1">
        <v>41035</v>
      </c>
      <c r="C772" s="2">
        <f t="shared" si="12"/>
        <v>1</v>
      </c>
      <c r="D772" s="6" t="s">
        <v>3247</v>
      </c>
      <c r="E772" s="3" t="s">
        <v>3248</v>
      </c>
      <c r="F772" s="4" t="s">
        <v>58</v>
      </c>
      <c r="G772" s="3" t="s">
        <v>3249</v>
      </c>
      <c r="H772" s="3"/>
      <c r="I772" s="3" t="s">
        <v>865</v>
      </c>
      <c r="J772" s="3" t="s">
        <v>61</v>
      </c>
      <c r="K772" s="3"/>
      <c r="L772" s="3"/>
      <c r="M772" s="3"/>
      <c r="N772" s="3"/>
      <c r="O772" s="3"/>
      <c r="P772" s="3"/>
      <c r="Q772" s="3"/>
      <c r="R772" s="3"/>
      <c r="S772" s="3"/>
    </row>
    <row r="773" spans="1:19" ht="39" x14ac:dyDescent="0.25">
      <c r="A773" s="1">
        <v>41041</v>
      </c>
      <c r="B773" s="1">
        <v>41041</v>
      </c>
      <c r="C773" s="2">
        <f t="shared" si="12"/>
        <v>1</v>
      </c>
      <c r="D773" s="6" t="s">
        <v>3255</v>
      </c>
      <c r="E773" s="3" t="s">
        <v>3256</v>
      </c>
      <c r="F773" s="4" t="s">
        <v>58</v>
      </c>
      <c r="G773" s="3" t="s">
        <v>3257</v>
      </c>
      <c r="H773" s="3"/>
      <c r="I773" s="3" t="s">
        <v>2226</v>
      </c>
      <c r="J773" s="3" t="s">
        <v>61</v>
      </c>
      <c r="K773" s="3"/>
      <c r="L773" s="3"/>
      <c r="M773" s="3"/>
      <c r="N773" s="3"/>
      <c r="O773" s="3"/>
      <c r="P773" s="3"/>
      <c r="Q773" s="3"/>
      <c r="R773" s="3"/>
      <c r="S773" s="3"/>
    </row>
    <row r="774" spans="1:19" ht="51.75" x14ac:dyDescent="0.25">
      <c r="A774" s="1">
        <v>41041</v>
      </c>
      <c r="B774" s="1">
        <v>41041</v>
      </c>
      <c r="C774" s="2">
        <f t="shared" si="12"/>
        <v>1</v>
      </c>
      <c r="D774" s="6" t="s">
        <v>3261</v>
      </c>
      <c r="E774" s="3" t="s">
        <v>3262</v>
      </c>
      <c r="F774" s="4" t="s">
        <v>58</v>
      </c>
      <c r="G774" s="3" t="s">
        <v>3263</v>
      </c>
      <c r="H774" s="3" t="s">
        <v>3264</v>
      </c>
      <c r="I774" s="3" t="s">
        <v>1866</v>
      </c>
      <c r="J774" s="3" t="s">
        <v>61</v>
      </c>
      <c r="K774" s="3"/>
      <c r="L774" s="3"/>
      <c r="M774" s="3"/>
      <c r="N774" s="3"/>
      <c r="O774" s="3"/>
      <c r="P774" s="3"/>
      <c r="Q774" s="3"/>
      <c r="R774" s="3"/>
      <c r="S774" s="3"/>
    </row>
    <row r="775" spans="1:19" ht="26.25" x14ac:dyDescent="0.25">
      <c r="A775" s="1">
        <v>41041</v>
      </c>
      <c r="B775" s="1">
        <v>41041</v>
      </c>
      <c r="C775" s="2">
        <f t="shared" si="12"/>
        <v>1</v>
      </c>
      <c r="D775" s="6" t="s">
        <v>897</v>
      </c>
      <c r="E775" s="3" t="s">
        <v>897</v>
      </c>
      <c r="F775" s="4" t="s">
        <v>58</v>
      </c>
      <c r="G775" s="3" t="s">
        <v>297</v>
      </c>
      <c r="H775" s="3"/>
      <c r="I775" s="3" t="s">
        <v>60</v>
      </c>
      <c r="J775" s="3" t="s">
        <v>61</v>
      </c>
      <c r="K775" s="3"/>
      <c r="L775" s="3"/>
      <c r="M775" s="3"/>
      <c r="N775" s="3"/>
      <c r="O775" s="3"/>
      <c r="P775" s="3"/>
      <c r="Q775" s="3"/>
      <c r="R775" s="3"/>
      <c r="S775" s="3"/>
    </row>
    <row r="776" spans="1:19" ht="26.25" x14ac:dyDescent="0.25">
      <c r="A776" s="1">
        <v>41047</v>
      </c>
      <c r="B776" s="1">
        <v>41047</v>
      </c>
      <c r="C776" s="2">
        <f t="shared" si="12"/>
        <v>1</v>
      </c>
      <c r="D776" s="6" t="s">
        <v>3277</v>
      </c>
      <c r="E776" s="3" t="s">
        <v>3278</v>
      </c>
      <c r="F776" s="4" t="s">
        <v>58</v>
      </c>
      <c r="G776" s="3" t="s">
        <v>2141</v>
      </c>
      <c r="H776" s="3" t="s">
        <v>3279</v>
      </c>
      <c r="I776" s="3" t="s">
        <v>105</v>
      </c>
      <c r="J776" s="3" t="s">
        <v>61</v>
      </c>
      <c r="K776" s="3"/>
      <c r="L776" s="3"/>
      <c r="M776" s="3"/>
      <c r="N776" s="3"/>
      <c r="O776" s="3"/>
      <c r="P776" s="3"/>
      <c r="Q776" s="3"/>
      <c r="R776" s="3"/>
      <c r="S776" s="3"/>
    </row>
    <row r="777" spans="1:19" ht="26.25" x14ac:dyDescent="0.25">
      <c r="A777" s="1">
        <v>41048</v>
      </c>
      <c r="B777" s="1">
        <v>41048</v>
      </c>
      <c r="C777" s="2">
        <f t="shared" si="12"/>
        <v>1</v>
      </c>
      <c r="D777" s="6" t="s">
        <v>3281</v>
      </c>
      <c r="E777" s="3" t="s">
        <v>3282</v>
      </c>
      <c r="F777" s="4" t="s">
        <v>58</v>
      </c>
      <c r="G777" s="3" t="s">
        <v>3283</v>
      </c>
      <c r="H777" s="3" t="s">
        <v>3284</v>
      </c>
      <c r="I777" s="3" t="s">
        <v>3285</v>
      </c>
      <c r="J777" s="3" t="s">
        <v>61</v>
      </c>
      <c r="K777" s="3"/>
      <c r="L777" s="3"/>
      <c r="M777" s="3"/>
      <c r="N777" s="3"/>
      <c r="O777" s="3"/>
      <c r="P777" s="3"/>
      <c r="Q777" s="3"/>
      <c r="R777" s="3"/>
      <c r="S777" s="3"/>
    </row>
    <row r="778" spans="1:19" ht="51.75" x14ac:dyDescent="0.25">
      <c r="A778" s="1">
        <v>41048</v>
      </c>
      <c r="B778" s="1">
        <v>41048</v>
      </c>
      <c r="C778" s="2">
        <f t="shared" si="12"/>
        <v>1</v>
      </c>
      <c r="D778" s="6" t="s">
        <v>3290</v>
      </c>
      <c r="E778" s="3" t="s">
        <v>3291</v>
      </c>
      <c r="F778" s="4" t="s">
        <v>58</v>
      </c>
      <c r="G778" s="3" t="s">
        <v>3292</v>
      </c>
      <c r="H778" s="3" t="s">
        <v>3293</v>
      </c>
      <c r="I778" s="3" t="s">
        <v>71</v>
      </c>
      <c r="J778" s="3" t="s">
        <v>61</v>
      </c>
      <c r="K778" s="3"/>
      <c r="L778" s="3"/>
      <c r="M778" s="3"/>
      <c r="N778" s="3"/>
      <c r="O778" s="3"/>
      <c r="P778" s="3"/>
      <c r="Q778" s="3"/>
      <c r="R778" s="3"/>
      <c r="S778" s="3"/>
    </row>
    <row r="779" spans="1:19" ht="39" x14ac:dyDescent="0.25">
      <c r="A779" s="1">
        <v>41048</v>
      </c>
      <c r="B779" s="1">
        <v>41048</v>
      </c>
      <c r="C779" s="2">
        <f t="shared" si="12"/>
        <v>1</v>
      </c>
      <c r="D779" s="6" t="s">
        <v>3294</v>
      </c>
      <c r="E779" s="3" t="s">
        <v>3295</v>
      </c>
      <c r="F779" s="4" t="s">
        <v>58</v>
      </c>
      <c r="G779" s="3" t="s">
        <v>3296</v>
      </c>
      <c r="H779" s="3" t="s">
        <v>3297</v>
      </c>
      <c r="I779" s="3" t="s">
        <v>3298</v>
      </c>
      <c r="J779" s="3" t="s">
        <v>61</v>
      </c>
      <c r="K779" s="3"/>
      <c r="L779" s="3"/>
      <c r="M779" s="3"/>
      <c r="N779" s="3"/>
      <c r="O779" s="3"/>
      <c r="P779" s="3"/>
      <c r="Q779" s="3"/>
      <c r="R779" s="3"/>
      <c r="S779" s="3"/>
    </row>
    <row r="780" spans="1:19" ht="26.25" x14ac:dyDescent="0.25">
      <c r="A780" s="1">
        <v>41049</v>
      </c>
      <c r="B780" s="1">
        <v>41049</v>
      </c>
      <c r="C780" s="2">
        <f t="shared" si="12"/>
        <v>1</v>
      </c>
      <c r="D780" s="6" t="s">
        <v>3302</v>
      </c>
      <c r="E780" s="3" t="s">
        <v>3302</v>
      </c>
      <c r="F780" s="4" t="s">
        <v>58</v>
      </c>
      <c r="G780" s="3" t="s">
        <v>1327</v>
      </c>
      <c r="H780" s="3"/>
      <c r="I780" s="3" t="s">
        <v>60</v>
      </c>
      <c r="J780" s="3" t="s">
        <v>61</v>
      </c>
      <c r="K780" s="3"/>
      <c r="L780" s="3"/>
      <c r="M780" s="3"/>
      <c r="N780" s="3"/>
      <c r="O780" s="3"/>
      <c r="P780" s="3"/>
      <c r="Q780" s="3"/>
      <c r="R780" s="3"/>
      <c r="S780" s="3"/>
    </row>
    <row r="781" spans="1:19" x14ac:dyDescent="0.25">
      <c r="A781" s="1">
        <v>41055</v>
      </c>
      <c r="B781" s="1">
        <v>41055</v>
      </c>
      <c r="C781" s="2">
        <f t="shared" si="12"/>
        <v>1</v>
      </c>
      <c r="D781" s="6" t="s">
        <v>3315</v>
      </c>
      <c r="E781" s="3" t="s">
        <v>3315</v>
      </c>
      <c r="F781" s="4" t="s">
        <v>58</v>
      </c>
      <c r="G781" s="3" t="s">
        <v>1459</v>
      </c>
      <c r="H781" s="3"/>
      <c r="I781" s="3" t="s">
        <v>60</v>
      </c>
      <c r="J781" s="3" t="s">
        <v>61</v>
      </c>
      <c r="K781" s="3"/>
      <c r="L781" s="3"/>
      <c r="M781" s="3"/>
      <c r="N781" s="3"/>
      <c r="O781" s="3"/>
      <c r="P781" s="3"/>
      <c r="Q781" s="3"/>
      <c r="R781" s="3"/>
      <c r="S781" s="3"/>
    </row>
    <row r="782" spans="1:19" ht="39" x14ac:dyDescent="0.25">
      <c r="A782" s="1">
        <v>41055</v>
      </c>
      <c r="B782" s="1">
        <v>41055</v>
      </c>
      <c r="C782" s="2">
        <f t="shared" si="12"/>
        <v>1</v>
      </c>
      <c r="D782" s="6" t="s">
        <v>3317</v>
      </c>
      <c r="E782" s="3" t="s">
        <v>3318</v>
      </c>
      <c r="F782" s="4" t="s">
        <v>58</v>
      </c>
      <c r="G782" s="3" t="s">
        <v>3319</v>
      </c>
      <c r="H782" s="3" t="s">
        <v>3320</v>
      </c>
      <c r="I782" s="3" t="s">
        <v>210</v>
      </c>
      <c r="J782" s="3" t="s">
        <v>61</v>
      </c>
      <c r="K782" s="3"/>
      <c r="L782" s="3"/>
      <c r="M782" s="3"/>
      <c r="N782" s="3"/>
      <c r="O782" s="3"/>
      <c r="P782" s="3"/>
      <c r="Q782" s="3"/>
      <c r="R782" s="3"/>
      <c r="S782" s="3"/>
    </row>
    <row r="783" spans="1:19" ht="51.75" x14ac:dyDescent="0.25">
      <c r="A783" s="1">
        <v>41061</v>
      </c>
      <c r="B783" s="1">
        <v>41061</v>
      </c>
      <c r="C783" s="2">
        <f t="shared" si="12"/>
        <v>1</v>
      </c>
      <c r="D783" s="6" t="s">
        <v>3340</v>
      </c>
      <c r="E783" s="3" t="s">
        <v>3341</v>
      </c>
      <c r="F783" s="4" t="s">
        <v>58</v>
      </c>
      <c r="G783" s="3" t="s">
        <v>3342</v>
      </c>
      <c r="H783" s="3"/>
      <c r="I783" s="3" t="s">
        <v>179</v>
      </c>
      <c r="J783" s="3" t="s">
        <v>61</v>
      </c>
      <c r="K783" s="3"/>
      <c r="L783" s="3"/>
      <c r="M783" s="3"/>
      <c r="N783" s="3"/>
      <c r="O783" s="3"/>
      <c r="P783" s="3"/>
      <c r="Q783" s="3"/>
      <c r="R783" s="3"/>
      <c r="S783" s="3"/>
    </row>
    <row r="784" spans="1:19" ht="26.25" x14ac:dyDescent="0.25">
      <c r="A784" s="1">
        <v>41062</v>
      </c>
      <c r="B784" s="1">
        <v>41062</v>
      </c>
      <c r="C784" s="2">
        <f t="shared" si="12"/>
        <v>1</v>
      </c>
      <c r="D784" s="6" t="s">
        <v>3354</v>
      </c>
      <c r="E784" s="3" t="s">
        <v>3354</v>
      </c>
      <c r="F784" s="4" t="s">
        <v>58</v>
      </c>
      <c r="G784" s="3" t="s">
        <v>3355</v>
      </c>
      <c r="H784" s="3" t="s">
        <v>969</v>
      </c>
      <c r="I784" s="3" t="s">
        <v>60</v>
      </c>
      <c r="J784" s="3" t="s">
        <v>61</v>
      </c>
      <c r="K784" s="3"/>
      <c r="L784" s="3"/>
      <c r="M784" s="3"/>
      <c r="N784" s="3"/>
      <c r="O784" s="3"/>
      <c r="P784" s="3"/>
      <c r="Q784" s="3"/>
      <c r="R784" s="3"/>
      <c r="S784" s="3"/>
    </row>
    <row r="785" spans="1:19" ht="51.75" x14ac:dyDescent="0.25">
      <c r="A785" s="1">
        <v>41062</v>
      </c>
      <c r="B785" s="1">
        <v>41062</v>
      </c>
      <c r="C785" s="2">
        <f t="shared" si="12"/>
        <v>1</v>
      </c>
      <c r="D785" s="6" t="s">
        <v>3357</v>
      </c>
      <c r="E785" s="3" t="s">
        <v>3358</v>
      </c>
      <c r="F785" s="4" t="s">
        <v>58</v>
      </c>
      <c r="G785" s="3" t="s">
        <v>3359</v>
      </c>
      <c r="H785" s="3"/>
      <c r="I785" s="3" t="s">
        <v>3360</v>
      </c>
      <c r="J785" s="3" t="s">
        <v>61</v>
      </c>
      <c r="K785" s="3"/>
      <c r="L785" s="3"/>
      <c r="M785" s="3"/>
      <c r="N785" s="3"/>
      <c r="O785" s="3"/>
      <c r="P785" s="3"/>
      <c r="Q785" s="3"/>
      <c r="R785" s="3"/>
      <c r="S785" s="3"/>
    </row>
    <row r="786" spans="1:19" ht="51.75" x14ac:dyDescent="0.25">
      <c r="A786" s="1">
        <v>41062</v>
      </c>
      <c r="B786" s="1">
        <v>41062</v>
      </c>
      <c r="C786" s="2">
        <f t="shared" si="12"/>
        <v>1</v>
      </c>
      <c r="D786" s="6" t="s">
        <v>3364</v>
      </c>
      <c r="E786" s="3" t="s">
        <v>3365</v>
      </c>
      <c r="F786" s="4" t="s">
        <v>58</v>
      </c>
      <c r="G786" s="3" t="s">
        <v>529</v>
      </c>
      <c r="H786" s="3" t="s">
        <v>3366</v>
      </c>
      <c r="I786" s="3" t="s">
        <v>1866</v>
      </c>
      <c r="J786" s="3" t="s">
        <v>61</v>
      </c>
      <c r="K786" s="3"/>
      <c r="L786" s="3"/>
      <c r="M786" s="3"/>
      <c r="N786" s="3"/>
      <c r="O786" s="3"/>
      <c r="P786" s="3"/>
      <c r="Q786" s="3"/>
      <c r="R786" s="3"/>
      <c r="S786" s="3"/>
    </row>
    <row r="787" spans="1:19" ht="26.25" x14ac:dyDescent="0.25">
      <c r="A787" s="1">
        <v>41062</v>
      </c>
      <c r="B787" s="1">
        <v>41062</v>
      </c>
      <c r="C787" s="2">
        <f t="shared" si="12"/>
        <v>1</v>
      </c>
      <c r="D787" s="6" t="s">
        <v>1292</v>
      </c>
      <c r="E787" s="3" t="s">
        <v>1292</v>
      </c>
      <c r="F787" s="4" t="s">
        <v>58</v>
      </c>
      <c r="G787" s="3" t="s">
        <v>297</v>
      </c>
      <c r="H787" s="3"/>
      <c r="I787" s="3" t="s">
        <v>60</v>
      </c>
      <c r="J787" s="3" t="s">
        <v>61</v>
      </c>
      <c r="K787" s="3"/>
      <c r="L787" s="3"/>
      <c r="M787" s="3"/>
      <c r="N787" s="3"/>
      <c r="O787" s="3"/>
      <c r="P787" s="3"/>
      <c r="Q787" s="3"/>
      <c r="R787" s="3"/>
      <c r="S787" s="3"/>
    </row>
    <row r="788" spans="1:19" ht="39" x14ac:dyDescent="0.25">
      <c r="A788" s="1">
        <v>41062</v>
      </c>
      <c r="B788" s="1">
        <v>41062</v>
      </c>
      <c r="C788" s="2">
        <f t="shared" si="12"/>
        <v>1</v>
      </c>
      <c r="D788" s="6" t="s">
        <v>3367</v>
      </c>
      <c r="E788" s="3" t="s">
        <v>3368</v>
      </c>
      <c r="F788" s="4" t="s">
        <v>58</v>
      </c>
      <c r="G788" s="3" t="s">
        <v>3369</v>
      </c>
      <c r="H788" s="3" t="s">
        <v>3370</v>
      </c>
      <c r="I788" s="3" t="s">
        <v>3371</v>
      </c>
      <c r="J788" s="3" t="s">
        <v>61</v>
      </c>
      <c r="K788" s="3"/>
      <c r="L788" s="3"/>
      <c r="M788" s="3"/>
      <c r="N788" s="3"/>
      <c r="O788" s="3"/>
      <c r="P788" s="3"/>
      <c r="Q788" s="3"/>
      <c r="R788" s="3"/>
      <c r="S788" s="3"/>
    </row>
    <row r="789" spans="1:19" ht="26.25" x14ac:dyDescent="0.25">
      <c r="A789" s="1">
        <v>41063</v>
      </c>
      <c r="B789" s="1">
        <v>41063</v>
      </c>
      <c r="C789" s="2">
        <f t="shared" si="12"/>
        <v>1</v>
      </c>
      <c r="D789" s="6" t="s">
        <v>3376</v>
      </c>
      <c r="E789" s="3" t="s">
        <v>3377</v>
      </c>
      <c r="F789" s="4" t="s">
        <v>58</v>
      </c>
      <c r="G789" s="3" t="s">
        <v>3274</v>
      </c>
      <c r="H789" s="3"/>
      <c r="I789" s="3" t="s">
        <v>179</v>
      </c>
      <c r="J789" s="3" t="s">
        <v>61</v>
      </c>
      <c r="K789" s="3"/>
      <c r="L789" s="3"/>
      <c r="M789" s="3"/>
      <c r="N789" s="3"/>
      <c r="O789" s="3"/>
      <c r="P789" s="3"/>
      <c r="Q789" s="3"/>
      <c r="R789" s="3"/>
      <c r="S789" s="3"/>
    </row>
    <row r="790" spans="1:19" ht="51.75" x14ac:dyDescent="0.25">
      <c r="A790" s="1">
        <v>41068</v>
      </c>
      <c r="B790" s="1">
        <v>41068</v>
      </c>
      <c r="C790" s="2">
        <f t="shared" si="12"/>
        <v>1</v>
      </c>
      <c r="D790" s="6" t="s">
        <v>3395</v>
      </c>
      <c r="E790" s="3" t="s">
        <v>3396</v>
      </c>
      <c r="F790" s="4" t="s">
        <v>58</v>
      </c>
      <c r="G790" s="3" t="s">
        <v>2103</v>
      </c>
      <c r="H790" s="3"/>
      <c r="I790" s="3" t="s">
        <v>133</v>
      </c>
      <c r="J790" s="3" t="s">
        <v>61</v>
      </c>
      <c r="K790" s="3"/>
      <c r="L790" s="3"/>
      <c r="M790" s="3"/>
      <c r="N790" s="3"/>
      <c r="O790" s="3"/>
      <c r="P790" s="3"/>
      <c r="Q790" s="3"/>
      <c r="R790" s="3"/>
      <c r="S790" s="3"/>
    </row>
    <row r="791" spans="1:19" ht="26.25" x14ac:dyDescent="0.25">
      <c r="A791" s="1">
        <v>41068</v>
      </c>
      <c r="B791" s="1">
        <v>41068</v>
      </c>
      <c r="C791" s="2">
        <f t="shared" si="12"/>
        <v>1</v>
      </c>
      <c r="D791" s="6" t="s">
        <v>1564</v>
      </c>
      <c r="E791" s="3" t="s">
        <v>1564</v>
      </c>
      <c r="F791" s="4" t="s">
        <v>58</v>
      </c>
      <c r="G791" s="3" t="s">
        <v>297</v>
      </c>
      <c r="H791" s="3"/>
      <c r="I791" s="3" t="s">
        <v>60</v>
      </c>
      <c r="J791" s="3" t="s">
        <v>61</v>
      </c>
      <c r="K791" s="3"/>
      <c r="L791" s="3"/>
      <c r="M791" s="3"/>
      <c r="N791" s="3"/>
      <c r="O791" s="3"/>
      <c r="P791" s="3"/>
      <c r="Q791" s="3"/>
      <c r="R791" s="3"/>
      <c r="S791" s="3"/>
    </row>
    <row r="792" spans="1:19" ht="39" x14ac:dyDescent="0.25">
      <c r="A792" s="1">
        <v>41069</v>
      </c>
      <c r="B792" s="1">
        <v>41069</v>
      </c>
      <c r="C792" s="2">
        <f t="shared" si="12"/>
        <v>1</v>
      </c>
      <c r="D792" s="6" t="s">
        <v>3412</v>
      </c>
      <c r="E792" s="3" t="s">
        <v>3413</v>
      </c>
      <c r="F792" s="4" t="s">
        <v>58</v>
      </c>
      <c r="G792" s="3" t="s">
        <v>3414</v>
      </c>
      <c r="H792" s="3"/>
      <c r="I792" s="3" t="s">
        <v>77</v>
      </c>
      <c r="J792" s="3" t="s">
        <v>61</v>
      </c>
      <c r="K792" s="3"/>
      <c r="L792" s="3"/>
      <c r="M792" s="3"/>
      <c r="N792" s="3"/>
      <c r="O792" s="3"/>
      <c r="P792" s="3"/>
      <c r="Q792" s="3"/>
      <c r="R792" s="3"/>
      <c r="S792" s="3"/>
    </row>
    <row r="793" spans="1:19" ht="51.75" x14ac:dyDescent="0.25">
      <c r="A793" s="1">
        <v>41069</v>
      </c>
      <c r="B793" s="1">
        <v>41069</v>
      </c>
      <c r="C793" s="2">
        <f t="shared" si="12"/>
        <v>1</v>
      </c>
      <c r="D793" s="6" t="s">
        <v>3416</v>
      </c>
      <c r="E793" s="3" t="s">
        <v>3417</v>
      </c>
      <c r="F793" s="4" t="s">
        <v>58</v>
      </c>
      <c r="G793" s="3" t="s">
        <v>3418</v>
      </c>
      <c r="H793" s="3"/>
      <c r="I793" s="3" t="s">
        <v>77</v>
      </c>
      <c r="J793" s="3" t="s">
        <v>61</v>
      </c>
      <c r="K793" s="3"/>
      <c r="L793" s="3"/>
      <c r="M793" s="3"/>
      <c r="N793" s="3"/>
      <c r="O793" s="3"/>
      <c r="P793" s="3"/>
      <c r="Q793" s="3"/>
      <c r="R793" s="3"/>
      <c r="S793" s="3"/>
    </row>
    <row r="794" spans="1:19" ht="51.75" x14ac:dyDescent="0.25">
      <c r="A794" s="1">
        <v>41069</v>
      </c>
      <c r="B794" s="1">
        <v>41069</v>
      </c>
      <c r="C794" s="2">
        <f t="shared" si="12"/>
        <v>1</v>
      </c>
      <c r="D794" s="6" t="s">
        <v>21</v>
      </c>
      <c r="E794" s="3" t="s">
        <v>3421</v>
      </c>
      <c r="F794" s="4" t="s">
        <v>58</v>
      </c>
      <c r="G794" s="3" t="s">
        <v>3422</v>
      </c>
      <c r="H794" s="3"/>
      <c r="I794" s="3" t="s">
        <v>3336</v>
      </c>
      <c r="J794" s="3" t="s">
        <v>61</v>
      </c>
      <c r="K794" s="3"/>
      <c r="L794" s="3"/>
      <c r="M794" s="3"/>
      <c r="N794" s="3"/>
      <c r="O794" s="3"/>
      <c r="P794" s="3"/>
      <c r="Q794" s="3"/>
      <c r="R794" s="3"/>
      <c r="S794" s="3"/>
    </row>
    <row r="795" spans="1:19" ht="26.25" x14ac:dyDescent="0.25">
      <c r="A795" s="1">
        <v>41069</v>
      </c>
      <c r="B795" s="1">
        <v>41069</v>
      </c>
      <c r="C795" s="2">
        <f t="shared" si="12"/>
        <v>1</v>
      </c>
      <c r="D795" s="6" t="s">
        <v>1636</v>
      </c>
      <c r="E795" s="3" t="s">
        <v>1636</v>
      </c>
      <c r="F795" s="4" t="s">
        <v>58</v>
      </c>
      <c r="G795" s="3" t="s">
        <v>297</v>
      </c>
      <c r="H795" s="3"/>
      <c r="I795" s="3" t="s">
        <v>60</v>
      </c>
      <c r="J795" s="3" t="s">
        <v>61</v>
      </c>
      <c r="K795" s="3"/>
      <c r="L795" s="3"/>
      <c r="M795" s="3"/>
      <c r="N795" s="3"/>
      <c r="O795" s="3"/>
      <c r="P795" s="3"/>
      <c r="Q795" s="3"/>
      <c r="R795" s="3"/>
      <c r="S795" s="3"/>
    </row>
    <row r="796" spans="1:19" ht="51.75" x14ac:dyDescent="0.25">
      <c r="A796" s="1">
        <v>41069</v>
      </c>
      <c r="B796" s="1">
        <v>41069</v>
      </c>
      <c r="C796" s="2">
        <f t="shared" si="12"/>
        <v>1</v>
      </c>
      <c r="D796" s="6" t="s">
        <v>3426</v>
      </c>
      <c r="E796" s="3" t="s">
        <v>3427</v>
      </c>
      <c r="F796" s="4" t="s">
        <v>58</v>
      </c>
      <c r="G796" s="3" t="s">
        <v>2210</v>
      </c>
      <c r="H796" s="3" t="s">
        <v>3428</v>
      </c>
      <c r="I796" s="3" t="s">
        <v>2951</v>
      </c>
      <c r="J796" s="3" t="s">
        <v>61</v>
      </c>
      <c r="K796" s="3"/>
      <c r="L796" s="3"/>
      <c r="M796" s="3"/>
      <c r="N796" s="3"/>
      <c r="O796" s="3"/>
      <c r="P796" s="3"/>
      <c r="Q796" s="3"/>
      <c r="R796" s="3"/>
      <c r="S796" s="3"/>
    </row>
    <row r="797" spans="1:19" ht="26.25" x14ac:dyDescent="0.25">
      <c r="A797" s="1">
        <v>41071</v>
      </c>
      <c r="B797" s="1">
        <v>41071</v>
      </c>
      <c r="C797" s="2">
        <f t="shared" si="12"/>
        <v>1</v>
      </c>
      <c r="D797" s="6" t="s">
        <v>3438</v>
      </c>
      <c r="E797" s="3" t="s">
        <v>3439</v>
      </c>
      <c r="F797" s="4" t="s">
        <v>58</v>
      </c>
      <c r="G797" s="3" t="s">
        <v>3440</v>
      </c>
      <c r="H797" s="3"/>
      <c r="I797" s="3" t="s">
        <v>865</v>
      </c>
      <c r="J797" s="3" t="s">
        <v>61</v>
      </c>
      <c r="K797" s="3"/>
      <c r="L797" s="3"/>
      <c r="M797" s="3"/>
      <c r="N797" s="3"/>
      <c r="O797" s="3"/>
      <c r="P797" s="3"/>
      <c r="Q797" s="3"/>
      <c r="R797" s="3"/>
      <c r="S797" s="3"/>
    </row>
    <row r="798" spans="1:19" ht="51.75" x14ac:dyDescent="0.25">
      <c r="A798" s="1">
        <v>41072</v>
      </c>
      <c r="B798" s="1">
        <v>41072</v>
      </c>
      <c r="C798" s="2">
        <f t="shared" si="12"/>
        <v>1</v>
      </c>
      <c r="D798" s="6" t="s">
        <v>3441</v>
      </c>
      <c r="E798" s="3" t="s">
        <v>3442</v>
      </c>
      <c r="F798" s="4" t="s">
        <v>58</v>
      </c>
      <c r="G798" s="3" t="s">
        <v>3443</v>
      </c>
      <c r="H798" s="3" t="s">
        <v>3444</v>
      </c>
      <c r="I798" s="3" t="s">
        <v>159</v>
      </c>
      <c r="J798" s="3" t="s">
        <v>61</v>
      </c>
      <c r="K798" s="3"/>
      <c r="L798" s="3"/>
      <c r="M798" s="3"/>
      <c r="N798" s="3"/>
      <c r="O798" s="3"/>
      <c r="P798" s="3"/>
      <c r="Q798" s="3"/>
      <c r="R798" s="3"/>
      <c r="S798" s="3"/>
    </row>
    <row r="799" spans="1:19" ht="26.25" x14ac:dyDescent="0.25">
      <c r="A799" s="1">
        <v>41075</v>
      </c>
      <c r="B799" s="1">
        <v>41075</v>
      </c>
      <c r="C799" s="2">
        <f t="shared" si="12"/>
        <v>1</v>
      </c>
      <c r="D799" s="6" t="s">
        <v>3448</v>
      </c>
      <c r="E799" s="3" t="s">
        <v>3448</v>
      </c>
      <c r="F799" s="4" t="s">
        <v>58</v>
      </c>
      <c r="G799" s="3" t="s">
        <v>1327</v>
      </c>
      <c r="H799" s="3"/>
      <c r="I799" s="3" t="s">
        <v>60</v>
      </c>
      <c r="J799" s="3" t="s">
        <v>61</v>
      </c>
      <c r="K799" s="3"/>
      <c r="L799" s="3"/>
      <c r="M799" s="3"/>
      <c r="N799" s="3"/>
      <c r="O799" s="3"/>
      <c r="P799" s="3"/>
      <c r="Q799" s="3"/>
      <c r="R799" s="3"/>
      <c r="S799" s="3"/>
    </row>
    <row r="800" spans="1:19" ht="26.25" x14ac:dyDescent="0.25">
      <c r="A800" s="1">
        <v>41076</v>
      </c>
      <c r="B800" s="1">
        <v>41076</v>
      </c>
      <c r="C800" s="2">
        <f t="shared" si="12"/>
        <v>1</v>
      </c>
      <c r="D800" s="6" t="s">
        <v>3462</v>
      </c>
      <c r="E800" s="3" t="s">
        <v>3463</v>
      </c>
      <c r="F800" s="4" t="s">
        <v>58</v>
      </c>
      <c r="G800" s="3" t="s">
        <v>3464</v>
      </c>
      <c r="H800" s="3"/>
      <c r="I800" s="3" t="s">
        <v>3350</v>
      </c>
      <c r="J800" s="3" t="s">
        <v>61</v>
      </c>
      <c r="K800" s="3"/>
      <c r="L800" s="3"/>
      <c r="M800" s="3"/>
      <c r="N800" s="3"/>
      <c r="O800" s="3"/>
      <c r="P800" s="3"/>
      <c r="Q800" s="3"/>
      <c r="R800" s="3"/>
      <c r="S800" s="3"/>
    </row>
    <row r="801" spans="1:19" x14ac:dyDescent="0.25">
      <c r="A801" s="1">
        <v>41076</v>
      </c>
      <c r="B801" s="1">
        <v>41076</v>
      </c>
      <c r="C801" s="2">
        <f t="shared" si="12"/>
        <v>1</v>
      </c>
      <c r="D801" s="6" t="s">
        <v>3467</v>
      </c>
      <c r="E801" s="3" t="s">
        <v>3467</v>
      </c>
      <c r="F801" s="4" t="s">
        <v>58</v>
      </c>
      <c r="G801" s="3" t="s">
        <v>1459</v>
      </c>
      <c r="H801" s="3"/>
      <c r="I801" s="3" t="s">
        <v>60</v>
      </c>
      <c r="J801" s="3" t="s">
        <v>61</v>
      </c>
      <c r="K801" s="3"/>
      <c r="L801" s="3"/>
      <c r="M801" s="3"/>
      <c r="N801" s="3"/>
      <c r="O801" s="3"/>
      <c r="P801" s="3"/>
      <c r="Q801" s="3"/>
      <c r="R801" s="3"/>
      <c r="S801" s="3"/>
    </row>
    <row r="802" spans="1:19" ht="39" x14ac:dyDescent="0.25">
      <c r="A802" s="1">
        <v>41081</v>
      </c>
      <c r="B802" s="1">
        <v>41081</v>
      </c>
      <c r="C802" s="2">
        <f t="shared" si="12"/>
        <v>1</v>
      </c>
      <c r="D802" s="6" t="s">
        <v>3483</v>
      </c>
      <c r="E802" s="3" t="s">
        <v>3484</v>
      </c>
      <c r="F802" s="4" t="s">
        <v>58</v>
      </c>
      <c r="G802" s="3" t="s">
        <v>2480</v>
      </c>
      <c r="H802" s="3"/>
      <c r="I802" s="3" t="s">
        <v>85</v>
      </c>
      <c r="J802" s="3" t="s">
        <v>61</v>
      </c>
      <c r="K802" s="3"/>
      <c r="L802" s="3"/>
      <c r="M802" s="3"/>
      <c r="N802" s="3"/>
      <c r="O802" s="3"/>
      <c r="P802" s="3"/>
      <c r="Q802" s="3"/>
      <c r="R802" s="3"/>
      <c r="S802" s="3"/>
    </row>
    <row r="803" spans="1:19" ht="26.25" x14ac:dyDescent="0.25">
      <c r="A803" s="1">
        <v>41083</v>
      </c>
      <c r="B803" s="1">
        <v>41083</v>
      </c>
      <c r="C803" s="2">
        <f t="shared" si="12"/>
        <v>1</v>
      </c>
      <c r="D803" s="6" t="s">
        <v>3504</v>
      </c>
      <c r="E803" s="3" t="s">
        <v>3505</v>
      </c>
      <c r="F803" s="4" t="s">
        <v>58</v>
      </c>
      <c r="G803" s="3" t="s">
        <v>3506</v>
      </c>
      <c r="H803" s="3" t="s">
        <v>3507</v>
      </c>
      <c r="I803" s="3" t="s">
        <v>3508</v>
      </c>
      <c r="J803" s="3" t="s">
        <v>61</v>
      </c>
      <c r="K803" s="3"/>
      <c r="L803" s="3"/>
      <c r="M803" s="3"/>
      <c r="N803" s="3"/>
      <c r="O803" s="3"/>
      <c r="P803" s="3"/>
      <c r="Q803" s="3"/>
      <c r="R803" s="3"/>
      <c r="S803" s="3"/>
    </row>
    <row r="804" spans="1:19" ht="39" x14ac:dyDescent="0.25">
      <c r="A804" s="1">
        <v>41084</v>
      </c>
      <c r="B804" s="1">
        <v>41084</v>
      </c>
      <c r="C804" s="2">
        <f t="shared" si="12"/>
        <v>1</v>
      </c>
      <c r="D804" s="6" t="s">
        <v>3512</v>
      </c>
      <c r="E804" s="3" t="s">
        <v>3513</v>
      </c>
      <c r="F804" s="4" t="s">
        <v>58</v>
      </c>
      <c r="G804" s="3" t="s">
        <v>3514</v>
      </c>
      <c r="H804" s="3"/>
      <c r="I804" s="3" t="s">
        <v>210</v>
      </c>
      <c r="J804" s="3" t="s">
        <v>61</v>
      </c>
      <c r="K804" s="3"/>
      <c r="L804" s="3"/>
      <c r="M804" s="3"/>
      <c r="N804" s="3"/>
      <c r="O804" s="3"/>
      <c r="P804" s="3"/>
      <c r="Q804" s="3"/>
      <c r="R804" s="3"/>
      <c r="S804" s="3"/>
    </row>
    <row r="805" spans="1:19" ht="51.75" x14ac:dyDescent="0.25">
      <c r="A805" s="1">
        <v>41089</v>
      </c>
      <c r="B805" s="1">
        <v>41089</v>
      </c>
      <c r="C805" s="2">
        <f t="shared" si="12"/>
        <v>1</v>
      </c>
      <c r="D805" s="6" t="s">
        <v>3523</v>
      </c>
      <c r="E805" s="3" t="s">
        <v>3524</v>
      </c>
      <c r="F805" s="4" t="s">
        <v>58</v>
      </c>
      <c r="G805" s="3" t="s">
        <v>787</v>
      </c>
      <c r="H805" s="3"/>
      <c r="I805" s="3" t="s">
        <v>789</v>
      </c>
      <c r="J805" s="3" t="s">
        <v>61</v>
      </c>
      <c r="K805" s="3"/>
      <c r="L805" s="3"/>
      <c r="M805" s="3"/>
      <c r="N805" s="3"/>
      <c r="O805" s="3"/>
      <c r="P805" s="3"/>
      <c r="Q805" s="3"/>
      <c r="R805" s="3"/>
      <c r="S805" s="3"/>
    </row>
    <row r="806" spans="1:19" ht="26.25" x14ac:dyDescent="0.25">
      <c r="A806" s="1">
        <v>41090</v>
      </c>
      <c r="B806" s="1">
        <v>41090</v>
      </c>
      <c r="C806" s="2">
        <f t="shared" si="12"/>
        <v>1</v>
      </c>
      <c r="D806" s="6" t="s">
        <v>3530</v>
      </c>
      <c r="E806" s="3" t="s">
        <v>3531</v>
      </c>
      <c r="F806" s="4" t="s">
        <v>58</v>
      </c>
      <c r="G806" s="3" t="s">
        <v>3532</v>
      </c>
      <c r="H806" s="3" t="s">
        <v>3533</v>
      </c>
      <c r="I806" s="3" t="s">
        <v>2594</v>
      </c>
      <c r="J806" s="3" t="s">
        <v>61</v>
      </c>
      <c r="K806" s="3"/>
      <c r="L806" s="3"/>
      <c r="M806" s="3"/>
      <c r="N806" s="3"/>
      <c r="O806" s="3"/>
      <c r="P806" s="3"/>
      <c r="Q806" s="3"/>
      <c r="R806" s="3"/>
      <c r="S806" s="3"/>
    </row>
    <row r="807" spans="1:19" ht="26.25" x14ac:dyDescent="0.25">
      <c r="A807" s="1">
        <v>41092</v>
      </c>
      <c r="B807" s="1">
        <v>41092</v>
      </c>
      <c r="C807" s="2">
        <f t="shared" si="12"/>
        <v>1</v>
      </c>
      <c r="D807" s="6" t="s">
        <v>3550</v>
      </c>
      <c r="E807" s="3" t="s">
        <v>3551</v>
      </c>
      <c r="F807" s="4" t="s">
        <v>58</v>
      </c>
      <c r="G807" s="3" t="s">
        <v>529</v>
      </c>
      <c r="H807" s="3"/>
      <c r="I807" s="3" t="s">
        <v>496</v>
      </c>
      <c r="J807" s="3" t="s">
        <v>61</v>
      </c>
      <c r="K807" s="3"/>
      <c r="L807" s="3"/>
      <c r="M807" s="3"/>
      <c r="N807" s="3"/>
      <c r="O807" s="3"/>
      <c r="P807" s="3"/>
      <c r="Q807" s="3"/>
      <c r="R807" s="3"/>
      <c r="S807" s="3"/>
    </row>
    <row r="808" spans="1:19" ht="51.75" x14ac:dyDescent="0.25">
      <c r="A808" s="1">
        <v>41094</v>
      </c>
      <c r="B808" s="1">
        <v>41094</v>
      </c>
      <c r="C808" s="2">
        <f t="shared" si="12"/>
        <v>1</v>
      </c>
      <c r="D808" s="6" t="s">
        <v>3553</v>
      </c>
      <c r="E808" s="3" t="s">
        <v>3554</v>
      </c>
      <c r="F808" s="4" t="s">
        <v>58</v>
      </c>
      <c r="G808" s="3" t="s">
        <v>570</v>
      </c>
      <c r="H808" s="3"/>
      <c r="I808" s="3" t="s">
        <v>3555</v>
      </c>
      <c r="J808" s="3" t="s">
        <v>61</v>
      </c>
      <c r="K808" s="3"/>
      <c r="L808" s="3"/>
      <c r="M808" s="3"/>
      <c r="N808" s="3"/>
      <c r="O808" s="3"/>
      <c r="P808" s="3"/>
      <c r="Q808" s="3"/>
      <c r="R808" s="3"/>
      <c r="S808" s="3"/>
    </row>
    <row r="809" spans="1:19" ht="51.75" x14ac:dyDescent="0.25">
      <c r="A809" s="1">
        <v>41094</v>
      </c>
      <c r="B809" s="1">
        <v>41094</v>
      </c>
      <c r="C809" s="2">
        <f t="shared" si="12"/>
        <v>1</v>
      </c>
      <c r="D809" s="6" t="s">
        <v>3553</v>
      </c>
      <c r="E809" s="3" t="s">
        <v>3557</v>
      </c>
      <c r="F809" s="4" t="s">
        <v>58</v>
      </c>
      <c r="G809" s="3" t="s">
        <v>1751</v>
      </c>
      <c r="H809" s="3"/>
      <c r="I809" s="3" t="s">
        <v>963</v>
      </c>
      <c r="J809" s="3" t="s">
        <v>61</v>
      </c>
      <c r="K809" s="3"/>
      <c r="L809" s="3"/>
      <c r="M809" s="3"/>
      <c r="N809" s="3"/>
      <c r="O809" s="3"/>
      <c r="P809" s="3"/>
      <c r="Q809" s="3"/>
      <c r="R809" s="3"/>
      <c r="S809" s="3"/>
    </row>
    <row r="810" spans="1:19" ht="39" x14ac:dyDescent="0.25">
      <c r="A810" s="1">
        <v>41094</v>
      </c>
      <c r="B810" s="1">
        <v>41094</v>
      </c>
      <c r="C810" s="2">
        <f t="shared" si="12"/>
        <v>1</v>
      </c>
      <c r="D810" s="6" t="s">
        <v>3558</v>
      </c>
      <c r="E810" s="3" t="s">
        <v>3559</v>
      </c>
      <c r="F810" s="4" t="s">
        <v>58</v>
      </c>
      <c r="G810" s="3" t="s">
        <v>3560</v>
      </c>
      <c r="H810" s="3" t="s">
        <v>3561</v>
      </c>
      <c r="I810" s="3" t="s">
        <v>3562</v>
      </c>
      <c r="J810" s="3" t="s">
        <v>61</v>
      </c>
      <c r="K810" s="3"/>
      <c r="L810" s="3"/>
      <c r="M810" s="3"/>
      <c r="N810" s="3"/>
      <c r="O810" s="3"/>
      <c r="P810" s="3"/>
      <c r="Q810" s="3"/>
      <c r="R810" s="3"/>
      <c r="S810" s="3"/>
    </row>
    <row r="811" spans="1:19" ht="39" x14ac:dyDescent="0.25">
      <c r="A811" s="1">
        <v>41094</v>
      </c>
      <c r="B811" s="1">
        <v>41094</v>
      </c>
      <c r="C811" s="2">
        <f t="shared" si="12"/>
        <v>1</v>
      </c>
      <c r="D811" s="6" t="s">
        <v>3565</v>
      </c>
      <c r="E811" s="3" t="s">
        <v>3566</v>
      </c>
      <c r="F811" s="4" t="s">
        <v>58</v>
      </c>
      <c r="G811" s="3" t="s">
        <v>3567</v>
      </c>
      <c r="H811" s="3" t="s">
        <v>3568</v>
      </c>
      <c r="I811" s="3" t="s">
        <v>407</v>
      </c>
      <c r="J811" s="3" t="s">
        <v>61</v>
      </c>
      <c r="K811" s="3"/>
      <c r="L811" s="3"/>
      <c r="M811" s="3"/>
      <c r="N811" s="3"/>
      <c r="O811" s="3"/>
      <c r="P811" s="3"/>
      <c r="Q811" s="3"/>
      <c r="R811" s="3"/>
      <c r="S811" s="3"/>
    </row>
    <row r="812" spans="1:19" ht="26.25" x14ac:dyDescent="0.25">
      <c r="A812" s="1">
        <v>41094</v>
      </c>
      <c r="B812" s="1">
        <v>41094</v>
      </c>
      <c r="C812" s="2">
        <f t="shared" si="12"/>
        <v>1</v>
      </c>
      <c r="D812" s="6" t="s">
        <v>3569</v>
      </c>
      <c r="E812" s="3" t="s">
        <v>3570</v>
      </c>
      <c r="F812" s="4" t="s">
        <v>58</v>
      </c>
      <c r="G812" s="3" t="s">
        <v>3571</v>
      </c>
      <c r="H812" s="3" t="s">
        <v>3572</v>
      </c>
      <c r="I812" s="3" t="s">
        <v>105</v>
      </c>
      <c r="J812" s="3" t="s">
        <v>61</v>
      </c>
      <c r="K812" s="3"/>
      <c r="L812" s="3"/>
      <c r="M812" s="3"/>
      <c r="N812" s="3"/>
      <c r="O812" s="3"/>
      <c r="P812" s="3"/>
      <c r="Q812" s="3"/>
      <c r="R812" s="3"/>
      <c r="S812" s="3"/>
    </row>
    <row r="813" spans="1:19" ht="51.75" x14ac:dyDescent="0.25">
      <c r="A813" s="1">
        <v>41094</v>
      </c>
      <c r="B813" s="1">
        <v>41094</v>
      </c>
      <c r="C813" s="2">
        <f t="shared" si="12"/>
        <v>1</v>
      </c>
      <c r="D813" s="6" t="s">
        <v>3574</v>
      </c>
      <c r="E813" s="3" t="s">
        <v>3575</v>
      </c>
      <c r="F813" s="4" t="s">
        <v>58</v>
      </c>
      <c r="G813" s="3" t="s">
        <v>3576</v>
      </c>
      <c r="H813" s="3"/>
      <c r="I813" s="3" t="s">
        <v>315</v>
      </c>
      <c r="J813" s="3" t="s">
        <v>61</v>
      </c>
      <c r="K813" s="3"/>
      <c r="L813" s="3"/>
      <c r="M813" s="3"/>
      <c r="N813" s="3"/>
      <c r="O813" s="3"/>
      <c r="P813" s="3"/>
      <c r="Q813" s="3"/>
      <c r="R813" s="3"/>
      <c r="S813" s="3"/>
    </row>
    <row r="814" spans="1:19" ht="51.75" x14ac:dyDescent="0.25">
      <c r="A814" s="1">
        <v>41094</v>
      </c>
      <c r="B814" s="1">
        <v>41094</v>
      </c>
      <c r="C814" s="2">
        <f t="shared" si="12"/>
        <v>1</v>
      </c>
      <c r="D814" s="6" t="s">
        <v>3578</v>
      </c>
      <c r="E814" s="3" t="s">
        <v>3579</v>
      </c>
      <c r="F814" s="4" t="s">
        <v>58</v>
      </c>
      <c r="G814" s="3" t="s">
        <v>3580</v>
      </c>
      <c r="H814" s="3" t="s">
        <v>3581</v>
      </c>
      <c r="I814" s="3" t="s">
        <v>2018</v>
      </c>
      <c r="J814" s="3" t="s">
        <v>61</v>
      </c>
      <c r="K814" s="3"/>
      <c r="L814" s="3"/>
      <c r="M814" s="3"/>
      <c r="N814" s="3"/>
      <c r="O814" s="3"/>
      <c r="P814" s="3"/>
      <c r="Q814" s="3"/>
      <c r="R814" s="3"/>
      <c r="S814" s="3"/>
    </row>
    <row r="815" spans="1:19" ht="51.75" x14ac:dyDescent="0.25">
      <c r="A815" s="1">
        <v>41094</v>
      </c>
      <c r="B815" s="1">
        <v>41094</v>
      </c>
      <c r="C815" s="2">
        <f t="shared" si="12"/>
        <v>1</v>
      </c>
      <c r="D815" s="6" t="s">
        <v>3585</v>
      </c>
      <c r="E815" s="3" t="s">
        <v>3586</v>
      </c>
      <c r="F815" s="4" t="s">
        <v>58</v>
      </c>
      <c r="G815" s="3" t="s">
        <v>284</v>
      </c>
      <c r="H815" s="3" t="s">
        <v>3587</v>
      </c>
      <c r="I815" s="3" t="s">
        <v>245</v>
      </c>
      <c r="J815" s="3" t="s">
        <v>61</v>
      </c>
      <c r="K815" s="3"/>
      <c r="L815" s="3"/>
      <c r="M815" s="3"/>
      <c r="N815" s="3"/>
      <c r="O815" s="3"/>
      <c r="P815" s="3"/>
      <c r="Q815" s="3"/>
      <c r="R815" s="3"/>
      <c r="S815" s="3"/>
    </row>
    <row r="816" spans="1:19" ht="39" x14ac:dyDescent="0.25">
      <c r="A816" s="1">
        <v>41094</v>
      </c>
      <c r="B816" s="1">
        <v>41094</v>
      </c>
      <c r="C816" s="2">
        <f t="shared" si="12"/>
        <v>1</v>
      </c>
      <c r="D816" s="6" t="s">
        <v>3589</v>
      </c>
      <c r="E816" s="3" t="s">
        <v>3590</v>
      </c>
      <c r="F816" s="4" t="s">
        <v>58</v>
      </c>
      <c r="G816" s="3" t="s">
        <v>3591</v>
      </c>
      <c r="H816" s="3"/>
      <c r="I816" s="3" t="s">
        <v>963</v>
      </c>
      <c r="J816" s="3" t="s">
        <v>61</v>
      </c>
      <c r="K816" s="3"/>
      <c r="L816" s="3"/>
      <c r="M816" s="3"/>
      <c r="N816" s="3"/>
      <c r="O816" s="3"/>
      <c r="P816" s="3"/>
      <c r="Q816" s="3"/>
      <c r="R816" s="3"/>
      <c r="S816" s="3"/>
    </row>
    <row r="817" spans="1:19" ht="26.25" x14ac:dyDescent="0.25">
      <c r="A817" s="1">
        <v>41094</v>
      </c>
      <c r="B817" s="1">
        <v>41094</v>
      </c>
      <c r="C817" s="2">
        <f t="shared" si="12"/>
        <v>1</v>
      </c>
      <c r="D817" s="6" t="s">
        <v>3592</v>
      </c>
      <c r="E817" s="3" t="s">
        <v>3593</v>
      </c>
      <c r="F817" s="4" t="s">
        <v>58</v>
      </c>
      <c r="G817" s="3" t="s">
        <v>3594</v>
      </c>
      <c r="H817" s="3"/>
      <c r="I817" s="3" t="s">
        <v>77</v>
      </c>
      <c r="J817" s="3" t="s">
        <v>61</v>
      </c>
      <c r="K817" s="3"/>
      <c r="L817" s="3"/>
      <c r="M817" s="3"/>
      <c r="N817" s="3"/>
      <c r="O817" s="3"/>
      <c r="P817" s="3"/>
      <c r="Q817" s="3"/>
      <c r="R817" s="3"/>
      <c r="S817" s="3"/>
    </row>
    <row r="818" spans="1:19" ht="51.75" x14ac:dyDescent="0.25">
      <c r="A818" s="1">
        <v>41094</v>
      </c>
      <c r="B818" s="1">
        <v>41094</v>
      </c>
      <c r="C818" s="2">
        <f t="shared" si="12"/>
        <v>1</v>
      </c>
      <c r="D818" s="6" t="s">
        <v>3596</v>
      </c>
      <c r="E818" s="3" t="s">
        <v>3597</v>
      </c>
      <c r="F818" s="4" t="s">
        <v>58</v>
      </c>
      <c r="G818" s="3" t="s">
        <v>3598</v>
      </c>
      <c r="H818" s="3" t="s">
        <v>3599</v>
      </c>
      <c r="I818" s="3" t="s">
        <v>1727</v>
      </c>
      <c r="J818" s="3" t="s">
        <v>61</v>
      </c>
      <c r="K818" s="3"/>
      <c r="L818" s="3"/>
      <c r="M818" s="3"/>
      <c r="N818" s="3"/>
      <c r="O818" s="3"/>
      <c r="P818" s="3"/>
      <c r="Q818" s="3"/>
      <c r="R818" s="3"/>
      <c r="S818" s="3"/>
    </row>
    <row r="819" spans="1:19" ht="26.25" x14ac:dyDescent="0.25">
      <c r="A819" s="1">
        <v>41094</v>
      </c>
      <c r="B819" s="1">
        <v>41094</v>
      </c>
      <c r="C819" s="2">
        <f t="shared" si="12"/>
        <v>1</v>
      </c>
      <c r="D819" s="6" t="s">
        <v>3600</v>
      </c>
      <c r="E819" s="3" t="s">
        <v>3601</v>
      </c>
      <c r="F819" s="4" t="s">
        <v>58</v>
      </c>
      <c r="G819" s="3" t="s">
        <v>3602</v>
      </c>
      <c r="H819" s="3" t="s">
        <v>3603</v>
      </c>
      <c r="I819" s="3" t="s">
        <v>77</v>
      </c>
      <c r="J819" s="3" t="s">
        <v>61</v>
      </c>
      <c r="K819" s="3"/>
      <c r="L819" s="3"/>
      <c r="M819" s="3"/>
      <c r="N819" s="3"/>
      <c r="O819" s="3"/>
      <c r="P819" s="3"/>
      <c r="Q819" s="3"/>
      <c r="R819" s="3"/>
      <c r="S819" s="3"/>
    </row>
    <row r="820" spans="1:19" ht="51.75" x14ac:dyDescent="0.25">
      <c r="A820" s="1">
        <v>41094</v>
      </c>
      <c r="B820" s="1">
        <v>41094</v>
      </c>
      <c r="C820" s="2">
        <f t="shared" si="12"/>
        <v>1</v>
      </c>
      <c r="D820" s="6" t="s">
        <v>3605</v>
      </c>
      <c r="E820" s="3" t="s">
        <v>3606</v>
      </c>
      <c r="F820" s="4" t="s">
        <v>58</v>
      </c>
      <c r="G820" s="3" t="s">
        <v>3607</v>
      </c>
      <c r="H820" s="3" t="s">
        <v>3608</v>
      </c>
      <c r="I820" s="3" t="s">
        <v>3609</v>
      </c>
      <c r="J820" s="3" t="s">
        <v>61</v>
      </c>
      <c r="K820" s="3"/>
      <c r="L820" s="3"/>
      <c r="M820" s="3"/>
      <c r="N820" s="3"/>
      <c r="O820" s="3"/>
      <c r="P820" s="3"/>
      <c r="Q820" s="3"/>
      <c r="R820" s="3"/>
      <c r="S820" s="3"/>
    </row>
    <row r="821" spans="1:19" ht="26.25" x14ac:dyDescent="0.25">
      <c r="A821" s="1">
        <v>41094</v>
      </c>
      <c r="B821" s="1">
        <v>41094</v>
      </c>
      <c r="C821" s="2">
        <f t="shared" si="12"/>
        <v>1</v>
      </c>
      <c r="D821" s="6" t="s">
        <v>3614</v>
      </c>
      <c r="E821" s="3" t="s">
        <v>3615</v>
      </c>
      <c r="F821" s="4" t="s">
        <v>58</v>
      </c>
      <c r="G821" s="3" t="s">
        <v>3616</v>
      </c>
      <c r="H821" s="3"/>
      <c r="I821" s="3" t="s">
        <v>303</v>
      </c>
      <c r="J821" s="3" t="s">
        <v>61</v>
      </c>
      <c r="K821" s="3"/>
      <c r="L821" s="3"/>
      <c r="M821" s="3"/>
      <c r="N821" s="3"/>
      <c r="O821" s="3"/>
      <c r="P821" s="3"/>
      <c r="Q821" s="3"/>
      <c r="R821" s="3"/>
      <c r="S821" s="3"/>
    </row>
    <row r="822" spans="1:19" ht="26.25" x14ac:dyDescent="0.25">
      <c r="A822" s="1">
        <v>41103</v>
      </c>
      <c r="B822" s="1">
        <v>41103</v>
      </c>
      <c r="C822" s="2">
        <f t="shared" si="12"/>
        <v>1</v>
      </c>
      <c r="D822" s="6" t="s">
        <v>3632</v>
      </c>
      <c r="E822" s="3" t="s">
        <v>3633</v>
      </c>
      <c r="F822" s="4" t="s">
        <v>58</v>
      </c>
      <c r="G822" s="3" t="s">
        <v>1327</v>
      </c>
      <c r="H822" s="3"/>
      <c r="I822" s="3" t="s">
        <v>60</v>
      </c>
      <c r="J822" s="3" t="s">
        <v>61</v>
      </c>
      <c r="K822" s="3"/>
      <c r="L822" s="3"/>
      <c r="M822" s="3"/>
      <c r="N822" s="3"/>
      <c r="O822" s="3"/>
      <c r="P822" s="3"/>
      <c r="Q822" s="3"/>
      <c r="R822" s="3"/>
      <c r="S822" s="3"/>
    </row>
    <row r="823" spans="1:19" ht="51.75" x14ac:dyDescent="0.25">
      <c r="A823" s="1">
        <v>41104</v>
      </c>
      <c r="B823" s="1">
        <v>41104</v>
      </c>
      <c r="C823" s="2">
        <f t="shared" si="12"/>
        <v>1</v>
      </c>
      <c r="D823" s="6" t="s">
        <v>3645</v>
      </c>
      <c r="E823" s="3" t="s">
        <v>3646</v>
      </c>
      <c r="F823" s="4" t="s">
        <v>58</v>
      </c>
      <c r="G823" s="3" t="s">
        <v>3647</v>
      </c>
      <c r="H823" s="3" t="s">
        <v>3648</v>
      </c>
      <c r="I823" s="3" t="s">
        <v>865</v>
      </c>
      <c r="J823" s="3" t="s">
        <v>61</v>
      </c>
      <c r="K823" s="3"/>
      <c r="L823" s="3"/>
      <c r="M823" s="3"/>
      <c r="N823" s="3"/>
      <c r="O823" s="3"/>
      <c r="P823" s="3"/>
      <c r="Q823" s="3"/>
      <c r="R823" s="3"/>
      <c r="S823" s="3"/>
    </row>
    <row r="824" spans="1:19" ht="26.25" x14ac:dyDescent="0.25">
      <c r="A824" s="1">
        <v>41104</v>
      </c>
      <c r="B824" s="1">
        <v>41104</v>
      </c>
      <c r="C824" s="2">
        <f t="shared" si="12"/>
        <v>1</v>
      </c>
      <c r="D824" s="6" t="s">
        <v>1292</v>
      </c>
      <c r="E824" s="3" t="s">
        <v>1292</v>
      </c>
      <c r="F824" s="4" t="s">
        <v>58</v>
      </c>
      <c r="G824" s="3" t="s">
        <v>297</v>
      </c>
      <c r="H824" s="3"/>
      <c r="I824" s="3" t="s">
        <v>60</v>
      </c>
      <c r="J824" s="3" t="s">
        <v>61</v>
      </c>
      <c r="K824" s="3"/>
      <c r="L824" s="3"/>
      <c r="M824" s="3"/>
      <c r="N824" s="3"/>
      <c r="O824" s="3"/>
      <c r="P824" s="3"/>
      <c r="Q824" s="3"/>
      <c r="R824" s="3"/>
      <c r="S824" s="3"/>
    </row>
    <row r="825" spans="1:19" ht="39" x14ac:dyDescent="0.25">
      <c r="A825" s="1">
        <v>41105</v>
      </c>
      <c r="B825" s="1">
        <v>41105</v>
      </c>
      <c r="C825" s="2">
        <f t="shared" si="12"/>
        <v>1</v>
      </c>
      <c r="D825" s="6" t="s">
        <v>3663</v>
      </c>
      <c r="E825" s="3" t="s">
        <v>3664</v>
      </c>
      <c r="F825" s="4" t="s">
        <v>58</v>
      </c>
      <c r="G825" s="3" t="s">
        <v>3665</v>
      </c>
      <c r="H825" s="3"/>
      <c r="I825" s="3" t="s">
        <v>1303</v>
      </c>
      <c r="J825" s="3" t="s">
        <v>61</v>
      </c>
      <c r="K825" s="3"/>
      <c r="L825" s="3"/>
      <c r="M825" s="3"/>
      <c r="N825" s="3"/>
      <c r="O825" s="3"/>
      <c r="P825" s="3"/>
      <c r="Q825" s="3"/>
      <c r="R825" s="3"/>
      <c r="S825" s="3"/>
    </row>
    <row r="826" spans="1:19" ht="26.25" x14ac:dyDescent="0.25">
      <c r="A826" s="1">
        <v>41110</v>
      </c>
      <c r="B826" s="1">
        <v>41110</v>
      </c>
      <c r="C826" s="2">
        <f t="shared" si="12"/>
        <v>1</v>
      </c>
      <c r="D826" s="6" t="s">
        <v>1564</v>
      </c>
      <c r="E826" s="3" t="s">
        <v>1564</v>
      </c>
      <c r="F826" s="4" t="s">
        <v>58</v>
      </c>
      <c r="G826" s="3" t="s">
        <v>297</v>
      </c>
      <c r="H826" s="3"/>
      <c r="I826" s="3" t="s">
        <v>60</v>
      </c>
      <c r="J826" s="3" t="s">
        <v>61</v>
      </c>
      <c r="K826" s="3"/>
      <c r="L826" s="3"/>
      <c r="M826" s="3"/>
      <c r="N826" s="3"/>
      <c r="O826" s="3"/>
      <c r="P826" s="3"/>
      <c r="Q826" s="3"/>
      <c r="R826" s="3"/>
      <c r="S826" s="3"/>
    </row>
    <row r="827" spans="1:19" ht="26.25" x14ac:dyDescent="0.25">
      <c r="A827" s="1">
        <v>41111</v>
      </c>
      <c r="B827" s="1">
        <v>41111</v>
      </c>
      <c r="C827" s="2">
        <f t="shared" si="12"/>
        <v>1</v>
      </c>
      <c r="D827" s="6" t="s">
        <v>3684</v>
      </c>
      <c r="E827" s="3" t="s">
        <v>3685</v>
      </c>
      <c r="F827" s="4" t="s">
        <v>58</v>
      </c>
      <c r="G827" s="3" t="s">
        <v>1898</v>
      </c>
      <c r="H827" s="3" t="s">
        <v>3686</v>
      </c>
      <c r="I827" s="3" t="s">
        <v>2154</v>
      </c>
      <c r="J827" s="3" t="s">
        <v>61</v>
      </c>
      <c r="K827" s="3"/>
      <c r="L827" s="3"/>
      <c r="M827" s="3"/>
      <c r="N827" s="3"/>
      <c r="O827" s="3"/>
      <c r="P827" s="3"/>
      <c r="Q827" s="3"/>
      <c r="R827" s="3"/>
      <c r="S827" s="3"/>
    </row>
    <row r="828" spans="1:19" ht="26.25" x14ac:dyDescent="0.25">
      <c r="A828" s="1">
        <v>41111</v>
      </c>
      <c r="B828" s="1">
        <v>41111</v>
      </c>
      <c r="C828" s="2">
        <f t="shared" si="12"/>
        <v>1</v>
      </c>
      <c r="D828" s="6" t="s">
        <v>1636</v>
      </c>
      <c r="E828" s="3" t="s">
        <v>1636</v>
      </c>
      <c r="F828" s="4" t="s">
        <v>58</v>
      </c>
      <c r="G828" s="3" t="s">
        <v>297</v>
      </c>
      <c r="H828" s="3"/>
      <c r="I828" s="3" t="s">
        <v>60</v>
      </c>
      <c r="J828" s="3" t="s">
        <v>61</v>
      </c>
      <c r="K828" s="3"/>
      <c r="L828" s="3"/>
      <c r="M828" s="3"/>
      <c r="N828" s="3"/>
      <c r="O828" s="3"/>
      <c r="P828" s="3"/>
      <c r="Q828" s="3"/>
      <c r="R828" s="3"/>
      <c r="S828" s="3"/>
    </row>
    <row r="829" spans="1:19" x14ac:dyDescent="0.25">
      <c r="A829" s="1">
        <v>41118</v>
      </c>
      <c r="B829" s="1">
        <v>41118</v>
      </c>
      <c r="C829" s="2">
        <f t="shared" si="12"/>
        <v>1</v>
      </c>
      <c r="D829" s="6" t="s">
        <v>3736</v>
      </c>
      <c r="E829" s="3" t="s">
        <v>3737</v>
      </c>
      <c r="F829" s="4" t="s">
        <v>58</v>
      </c>
      <c r="G829" s="3" t="s">
        <v>1898</v>
      </c>
      <c r="H829" s="3"/>
      <c r="I829" s="3" t="s">
        <v>3738</v>
      </c>
      <c r="J829" s="3" t="s">
        <v>61</v>
      </c>
      <c r="K829" s="3"/>
      <c r="L829" s="3"/>
      <c r="M829" s="3"/>
      <c r="N829" s="3"/>
      <c r="O829" s="3"/>
      <c r="P829" s="3"/>
      <c r="Q829" s="3"/>
      <c r="R829" s="3"/>
      <c r="S829" s="3"/>
    </row>
    <row r="830" spans="1:19" x14ac:dyDescent="0.25">
      <c r="A830" s="1">
        <v>41118</v>
      </c>
      <c r="B830" s="1">
        <v>41118</v>
      </c>
      <c r="C830" s="2">
        <f t="shared" si="12"/>
        <v>1</v>
      </c>
      <c r="D830" s="6" t="s">
        <v>3740</v>
      </c>
      <c r="E830" s="3" t="s">
        <v>3741</v>
      </c>
      <c r="F830" s="4" t="s">
        <v>58</v>
      </c>
      <c r="G830" s="3" t="s">
        <v>1898</v>
      </c>
      <c r="H830" s="3"/>
      <c r="I830" s="3" t="s">
        <v>3150</v>
      </c>
      <c r="J830" s="3" t="s">
        <v>61</v>
      </c>
      <c r="K830" s="3"/>
      <c r="L830" s="3"/>
      <c r="M830" s="3"/>
      <c r="N830" s="3"/>
      <c r="O830" s="3"/>
      <c r="P830" s="3"/>
      <c r="Q830" s="3"/>
      <c r="R830" s="3"/>
      <c r="S830" s="3"/>
    </row>
    <row r="831" spans="1:19" x14ac:dyDescent="0.25">
      <c r="A831" s="1">
        <v>41119</v>
      </c>
      <c r="B831" s="1">
        <v>41119</v>
      </c>
      <c r="C831" s="2">
        <f t="shared" si="12"/>
        <v>1</v>
      </c>
      <c r="D831" s="6" t="s">
        <v>3744</v>
      </c>
      <c r="E831" s="3" t="s">
        <v>3745</v>
      </c>
      <c r="F831" s="4" t="s">
        <v>58</v>
      </c>
      <c r="G831" s="3" t="s">
        <v>3746</v>
      </c>
      <c r="H831" s="3" t="s">
        <v>570</v>
      </c>
      <c r="I831" s="3" t="s">
        <v>3150</v>
      </c>
      <c r="J831" s="3" t="s">
        <v>61</v>
      </c>
      <c r="K831" s="3"/>
      <c r="L831" s="3"/>
      <c r="M831" s="3"/>
      <c r="N831" s="3"/>
      <c r="O831" s="3"/>
      <c r="P831" s="3"/>
      <c r="Q831" s="3"/>
      <c r="R831" s="3"/>
      <c r="S831" s="3"/>
    </row>
    <row r="832" spans="1:19" ht="39" x14ac:dyDescent="0.25">
      <c r="A832" s="1">
        <v>41125</v>
      </c>
      <c r="B832" s="1">
        <v>41125</v>
      </c>
      <c r="C832" s="2">
        <f t="shared" si="12"/>
        <v>1</v>
      </c>
      <c r="D832" s="6" t="s">
        <v>3776</v>
      </c>
      <c r="E832" s="3" t="s">
        <v>3777</v>
      </c>
      <c r="F832" s="4" t="s">
        <v>58</v>
      </c>
      <c r="G832" s="3" t="s">
        <v>3778</v>
      </c>
      <c r="H832" s="3"/>
      <c r="I832" s="3" t="s">
        <v>407</v>
      </c>
      <c r="J832" s="3" t="s">
        <v>61</v>
      </c>
      <c r="K832" s="3"/>
      <c r="L832" s="3"/>
      <c r="M832" s="3"/>
      <c r="N832" s="3"/>
      <c r="O832" s="3"/>
      <c r="P832" s="3"/>
      <c r="Q832" s="3"/>
      <c r="R832" s="3"/>
      <c r="S832" s="3"/>
    </row>
    <row r="833" spans="1:19" ht="26.25" x14ac:dyDescent="0.25">
      <c r="A833" s="1">
        <v>41125</v>
      </c>
      <c r="B833" s="1">
        <v>41125</v>
      </c>
      <c r="C833" s="2">
        <f t="shared" ref="C833:C851" si="13">(B833-A833)+1</f>
        <v>1</v>
      </c>
      <c r="D833" s="6" t="s">
        <v>3780</v>
      </c>
      <c r="E833" s="3" t="s">
        <v>3781</v>
      </c>
      <c r="F833" s="4" t="s">
        <v>58</v>
      </c>
      <c r="G833" s="3" t="s">
        <v>3782</v>
      </c>
      <c r="H833" s="3"/>
      <c r="I833" s="3" t="s">
        <v>2018</v>
      </c>
      <c r="J833" s="3" t="s">
        <v>61</v>
      </c>
      <c r="K833" s="3"/>
      <c r="L833" s="3"/>
      <c r="M833" s="3"/>
      <c r="N833" s="3"/>
      <c r="O833" s="3"/>
      <c r="P833" s="3"/>
      <c r="Q833" s="3"/>
      <c r="R833" s="3"/>
      <c r="S833" s="3"/>
    </row>
    <row r="834" spans="1:19" ht="26.25" x14ac:dyDescent="0.25">
      <c r="A834" s="1">
        <v>41139</v>
      </c>
      <c r="B834" s="1">
        <v>41139</v>
      </c>
      <c r="C834" s="2">
        <f t="shared" si="13"/>
        <v>1</v>
      </c>
      <c r="D834" s="6" t="s">
        <v>3823</v>
      </c>
      <c r="E834" s="3" t="s">
        <v>3824</v>
      </c>
      <c r="F834" s="4" t="s">
        <v>58</v>
      </c>
      <c r="G834" s="3" t="s">
        <v>3825</v>
      </c>
      <c r="H834" s="3"/>
      <c r="I834" s="3" t="s">
        <v>60</v>
      </c>
      <c r="J834" s="3" t="s">
        <v>61</v>
      </c>
      <c r="K834" s="3"/>
      <c r="L834" s="3"/>
      <c r="M834" s="3"/>
      <c r="N834" s="3"/>
      <c r="O834" s="3"/>
      <c r="P834" s="3"/>
      <c r="Q834" s="3"/>
      <c r="R834" s="3"/>
      <c r="S834" s="3"/>
    </row>
    <row r="835" spans="1:19" ht="39" x14ac:dyDescent="0.25">
      <c r="A835" s="1">
        <v>41139</v>
      </c>
      <c r="B835" s="1">
        <v>41139</v>
      </c>
      <c r="C835" s="2">
        <f t="shared" si="13"/>
        <v>1</v>
      </c>
      <c r="D835" s="6" t="s">
        <v>3826</v>
      </c>
      <c r="E835" s="3" t="s">
        <v>3827</v>
      </c>
      <c r="F835" s="4" t="s">
        <v>58</v>
      </c>
      <c r="G835" s="3" t="s">
        <v>3828</v>
      </c>
      <c r="H835" s="3" t="s">
        <v>3829</v>
      </c>
      <c r="I835" s="3" t="s">
        <v>865</v>
      </c>
      <c r="J835" s="3" t="s">
        <v>61</v>
      </c>
      <c r="K835" s="3"/>
      <c r="L835" s="3"/>
      <c r="M835" s="3"/>
      <c r="N835" s="3"/>
      <c r="O835" s="3"/>
      <c r="P835" s="3"/>
      <c r="Q835" s="3"/>
      <c r="R835" s="3"/>
      <c r="S835" s="3"/>
    </row>
    <row r="836" spans="1:19" ht="26.25" x14ac:dyDescent="0.25">
      <c r="A836" s="1">
        <v>41146</v>
      </c>
      <c r="B836" s="1">
        <v>41146</v>
      </c>
      <c r="C836" s="2">
        <f t="shared" si="13"/>
        <v>1</v>
      </c>
      <c r="D836" s="6" t="s">
        <v>3840</v>
      </c>
      <c r="E836" s="3" t="s">
        <v>3841</v>
      </c>
      <c r="F836" s="4" t="s">
        <v>58</v>
      </c>
      <c r="G836" s="3" t="s">
        <v>3369</v>
      </c>
      <c r="H836" s="3"/>
      <c r="I836" s="3" t="s">
        <v>3371</v>
      </c>
      <c r="J836" s="3" t="s">
        <v>61</v>
      </c>
      <c r="K836" s="3"/>
      <c r="L836" s="3"/>
      <c r="M836" s="3"/>
      <c r="N836" s="3"/>
      <c r="O836" s="3"/>
      <c r="P836" s="3"/>
      <c r="Q836" s="3"/>
      <c r="R836" s="3"/>
      <c r="S836" s="3"/>
    </row>
    <row r="837" spans="1:19" ht="51.75" x14ac:dyDescent="0.25">
      <c r="A837" s="1">
        <v>41146</v>
      </c>
      <c r="B837" s="1">
        <v>41146</v>
      </c>
      <c r="C837" s="2">
        <f t="shared" si="13"/>
        <v>1</v>
      </c>
      <c r="D837" s="6" t="s">
        <v>3842</v>
      </c>
      <c r="E837" s="3" t="s">
        <v>3843</v>
      </c>
      <c r="F837" s="4" t="s">
        <v>58</v>
      </c>
      <c r="G837" s="3" t="s">
        <v>3844</v>
      </c>
      <c r="H837" s="3" t="s">
        <v>3845</v>
      </c>
      <c r="I837" s="3" t="s">
        <v>865</v>
      </c>
      <c r="J837" s="3" t="s">
        <v>61</v>
      </c>
      <c r="K837" s="3"/>
      <c r="L837" s="3"/>
      <c r="M837" s="3"/>
      <c r="N837" s="3"/>
      <c r="O837" s="3"/>
      <c r="P837" s="3"/>
      <c r="Q837" s="3"/>
      <c r="R837" s="3"/>
      <c r="S837" s="3"/>
    </row>
    <row r="838" spans="1:19" ht="26.25" x14ac:dyDescent="0.25">
      <c r="A838" s="1">
        <v>41152</v>
      </c>
      <c r="B838" s="1">
        <v>41152</v>
      </c>
      <c r="C838" s="2">
        <f t="shared" si="13"/>
        <v>1</v>
      </c>
      <c r="D838" s="6" t="s">
        <v>3849</v>
      </c>
      <c r="E838" s="3" t="s">
        <v>3850</v>
      </c>
      <c r="F838" s="4" t="s">
        <v>58</v>
      </c>
      <c r="G838" s="3" t="s">
        <v>1898</v>
      </c>
      <c r="H838" s="3"/>
      <c r="I838" s="3" t="s">
        <v>172</v>
      </c>
      <c r="J838" s="3" t="s">
        <v>61</v>
      </c>
      <c r="K838" s="3"/>
      <c r="L838" s="3"/>
      <c r="M838" s="3"/>
      <c r="N838" s="3"/>
      <c r="O838" s="3"/>
      <c r="P838" s="3"/>
      <c r="Q838" s="3"/>
      <c r="R838" s="3"/>
      <c r="S838" s="3"/>
    </row>
    <row r="839" spans="1:19" ht="39" x14ac:dyDescent="0.25">
      <c r="A839" s="1">
        <v>41153</v>
      </c>
      <c r="B839" s="1">
        <v>41153</v>
      </c>
      <c r="C839" s="2">
        <f t="shared" si="13"/>
        <v>1</v>
      </c>
      <c r="D839" s="6" t="s">
        <v>3861</v>
      </c>
      <c r="E839" s="3" t="s">
        <v>3862</v>
      </c>
      <c r="F839" s="4" t="s">
        <v>58</v>
      </c>
      <c r="G839" s="3" t="s">
        <v>215</v>
      </c>
      <c r="H839" s="3"/>
      <c r="I839" s="3" t="s">
        <v>1768</v>
      </c>
      <c r="J839" s="3" t="s">
        <v>61</v>
      </c>
      <c r="K839" s="3"/>
      <c r="L839" s="3"/>
      <c r="M839" s="3"/>
      <c r="N839" s="3"/>
      <c r="O839" s="3"/>
      <c r="P839" s="3"/>
      <c r="Q839" s="3"/>
      <c r="R839" s="3"/>
      <c r="S839" s="3"/>
    </row>
    <row r="840" spans="1:19" ht="39" x14ac:dyDescent="0.25">
      <c r="A840" s="1">
        <v>41153</v>
      </c>
      <c r="B840" s="1">
        <v>41153</v>
      </c>
      <c r="C840" s="2">
        <f t="shared" si="13"/>
        <v>1</v>
      </c>
      <c r="D840" s="6" t="s">
        <v>3865</v>
      </c>
      <c r="E840" s="3" t="s">
        <v>3866</v>
      </c>
      <c r="F840" s="4" t="s">
        <v>58</v>
      </c>
      <c r="G840" s="3" t="s">
        <v>3867</v>
      </c>
      <c r="H840" s="3"/>
      <c r="I840" s="3" t="s">
        <v>1768</v>
      </c>
      <c r="J840" s="3" t="s">
        <v>61</v>
      </c>
      <c r="K840" s="3"/>
      <c r="L840" s="3"/>
      <c r="M840" s="3"/>
      <c r="N840" s="3"/>
      <c r="O840" s="3"/>
      <c r="P840" s="3"/>
      <c r="Q840" s="3"/>
      <c r="R840" s="3"/>
      <c r="S840" s="3"/>
    </row>
    <row r="841" spans="1:19" ht="64.5" x14ac:dyDescent="0.25">
      <c r="A841" s="1">
        <v>41155</v>
      </c>
      <c r="B841" s="1">
        <v>41155</v>
      </c>
      <c r="C841" s="2">
        <f t="shared" si="13"/>
        <v>1</v>
      </c>
      <c r="D841" s="6" t="s">
        <v>3876</v>
      </c>
      <c r="E841" s="3" t="s">
        <v>3877</v>
      </c>
      <c r="F841" s="4" t="s">
        <v>58</v>
      </c>
      <c r="G841" s="3" t="s">
        <v>3878</v>
      </c>
      <c r="H841" s="3" t="s">
        <v>3879</v>
      </c>
      <c r="I841" s="3" t="s">
        <v>3880</v>
      </c>
      <c r="J841" s="3" t="s">
        <v>61</v>
      </c>
      <c r="K841" s="3"/>
      <c r="L841" s="3"/>
      <c r="M841" s="3"/>
      <c r="N841" s="3"/>
      <c r="O841" s="3"/>
      <c r="P841" s="3"/>
      <c r="Q841" s="3"/>
      <c r="R841" s="3"/>
      <c r="S841" s="3"/>
    </row>
    <row r="842" spans="1:19" ht="39" x14ac:dyDescent="0.25">
      <c r="A842" s="1">
        <v>41158</v>
      </c>
      <c r="B842" s="1">
        <v>41158</v>
      </c>
      <c r="C842" s="2">
        <f t="shared" si="13"/>
        <v>1</v>
      </c>
      <c r="D842" s="6" t="s">
        <v>3886</v>
      </c>
      <c r="E842" s="3" t="s">
        <v>3887</v>
      </c>
      <c r="F842" s="4" t="s">
        <v>58</v>
      </c>
      <c r="G842" s="3" t="s">
        <v>565</v>
      </c>
      <c r="H842" s="3" t="s">
        <v>3888</v>
      </c>
      <c r="I842" s="3" t="s">
        <v>505</v>
      </c>
      <c r="J842" s="3" t="s">
        <v>61</v>
      </c>
      <c r="K842" s="3"/>
      <c r="L842" s="3"/>
      <c r="M842" s="3"/>
      <c r="N842" s="3"/>
      <c r="O842" s="3"/>
      <c r="P842" s="3"/>
      <c r="Q842" s="3"/>
      <c r="R842" s="3"/>
      <c r="S842" s="3"/>
    </row>
    <row r="843" spans="1:19" ht="39" x14ac:dyDescent="0.25">
      <c r="A843" s="1">
        <v>41160</v>
      </c>
      <c r="B843" s="1">
        <v>41160</v>
      </c>
      <c r="C843" s="2">
        <f t="shared" si="13"/>
        <v>1</v>
      </c>
      <c r="D843" s="6" t="s">
        <v>990</v>
      </c>
      <c r="E843" s="3" t="s">
        <v>991</v>
      </c>
      <c r="F843" s="4" t="s">
        <v>58</v>
      </c>
      <c r="G843" s="3" t="s">
        <v>992</v>
      </c>
      <c r="H843" s="3"/>
      <c r="I843" s="3" t="s">
        <v>993</v>
      </c>
      <c r="J843" s="3" t="s">
        <v>61</v>
      </c>
      <c r="K843" s="3"/>
      <c r="L843" s="3"/>
      <c r="M843" s="3"/>
      <c r="N843" s="3"/>
      <c r="O843" s="3"/>
      <c r="P843" s="3"/>
      <c r="Q843" s="3"/>
      <c r="R843" s="3"/>
      <c r="S843" s="3"/>
    </row>
    <row r="844" spans="1:19" ht="39" x14ac:dyDescent="0.25">
      <c r="A844" s="1">
        <v>41160</v>
      </c>
      <c r="B844" s="1">
        <v>41160</v>
      </c>
      <c r="C844" s="2">
        <f t="shared" si="13"/>
        <v>1</v>
      </c>
      <c r="D844" s="6" t="s">
        <v>3915</v>
      </c>
      <c r="E844" s="3" t="s">
        <v>3916</v>
      </c>
      <c r="F844" s="4" t="s">
        <v>58</v>
      </c>
      <c r="G844" s="3" t="s">
        <v>3917</v>
      </c>
      <c r="H844" s="3" t="s">
        <v>3918</v>
      </c>
      <c r="I844" s="3" t="s">
        <v>1174</v>
      </c>
      <c r="J844" s="3" t="s">
        <v>61</v>
      </c>
      <c r="K844" s="3"/>
      <c r="L844" s="3"/>
      <c r="M844" s="3"/>
      <c r="N844" s="3"/>
      <c r="O844" s="3"/>
      <c r="P844" s="3"/>
      <c r="Q844" s="3"/>
      <c r="R844" s="3"/>
      <c r="S844" s="3"/>
    </row>
    <row r="845" spans="1:19" ht="39" x14ac:dyDescent="0.25">
      <c r="A845" s="1">
        <v>41161</v>
      </c>
      <c r="B845" s="1">
        <v>41161</v>
      </c>
      <c r="C845" s="2">
        <f t="shared" si="13"/>
        <v>1</v>
      </c>
      <c r="D845" s="6" t="s">
        <v>3928</v>
      </c>
      <c r="E845" s="3" t="s">
        <v>3929</v>
      </c>
      <c r="F845" s="4" t="s">
        <v>58</v>
      </c>
      <c r="G845" s="3" t="s">
        <v>3930</v>
      </c>
      <c r="H845" s="3" t="s">
        <v>3232</v>
      </c>
      <c r="I845" s="3" t="s">
        <v>105</v>
      </c>
      <c r="J845" s="3" t="s">
        <v>61</v>
      </c>
      <c r="K845" s="3"/>
      <c r="L845" s="3"/>
      <c r="M845" s="3"/>
      <c r="N845" s="3"/>
      <c r="O845" s="3"/>
      <c r="P845" s="3"/>
      <c r="Q845" s="3"/>
      <c r="R845" s="3"/>
      <c r="S845" s="3"/>
    </row>
    <row r="846" spans="1:19" ht="26.25" x14ac:dyDescent="0.25">
      <c r="A846" s="1">
        <v>41163</v>
      </c>
      <c r="B846" s="1">
        <v>41163</v>
      </c>
      <c r="C846" s="2">
        <f t="shared" si="13"/>
        <v>1</v>
      </c>
      <c r="D846" s="6" t="s">
        <v>3931</v>
      </c>
      <c r="E846" s="3" t="s">
        <v>3932</v>
      </c>
      <c r="F846" s="4" t="s">
        <v>58</v>
      </c>
      <c r="G846" s="3" t="s">
        <v>3933</v>
      </c>
      <c r="H846" s="3"/>
      <c r="I846" s="3" t="s">
        <v>505</v>
      </c>
      <c r="J846" s="3" t="s">
        <v>61</v>
      </c>
      <c r="K846" s="3"/>
      <c r="L846" s="3"/>
      <c r="M846" s="3"/>
      <c r="N846" s="3"/>
      <c r="O846" s="3"/>
      <c r="P846" s="3"/>
      <c r="Q846" s="3"/>
      <c r="R846" s="3"/>
      <c r="S846" s="3"/>
    </row>
    <row r="847" spans="1:19" ht="51.75" x14ac:dyDescent="0.25">
      <c r="A847" s="1">
        <v>41167</v>
      </c>
      <c r="B847" s="1">
        <v>41167</v>
      </c>
      <c r="C847" s="2">
        <f t="shared" si="13"/>
        <v>1</v>
      </c>
      <c r="D847" s="6" t="s">
        <v>3939</v>
      </c>
      <c r="E847" s="3" t="s">
        <v>3940</v>
      </c>
      <c r="F847" s="4" t="s">
        <v>58</v>
      </c>
      <c r="G847" s="3" t="s">
        <v>3941</v>
      </c>
      <c r="H847" s="3"/>
      <c r="I847" s="3" t="s">
        <v>3350</v>
      </c>
      <c r="J847" s="3" t="s">
        <v>61</v>
      </c>
      <c r="K847" s="3"/>
      <c r="L847" s="3"/>
      <c r="M847" s="3"/>
      <c r="N847" s="3"/>
      <c r="O847" s="3"/>
      <c r="P847" s="3"/>
      <c r="Q847" s="3"/>
      <c r="R847" s="3"/>
      <c r="S847" s="3"/>
    </row>
    <row r="848" spans="1:19" ht="64.5" x14ac:dyDescent="0.25">
      <c r="A848" s="1">
        <v>41167</v>
      </c>
      <c r="B848" s="1">
        <v>41167</v>
      </c>
      <c r="C848" s="2">
        <f t="shared" si="13"/>
        <v>1</v>
      </c>
      <c r="D848" s="6" t="s">
        <v>3943</v>
      </c>
      <c r="E848" s="3" t="s">
        <v>3944</v>
      </c>
      <c r="F848" s="4" t="s">
        <v>58</v>
      </c>
      <c r="G848" s="3" t="s">
        <v>3945</v>
      </c>
      <c r="H848" s="3"/>
      <c r="I848" s="3" t="s">
        <v>3946</v>
      </c>
      <c r="J848" s="3" t="s">
        <v>61</v>
      </c>
      <c r="K848" s="3"/>
      <c r="L848" s="3"/>
      <c r="M848" s="3"/>
      <c r="N848" s="3"/>
      <c r="O848" s="3"/>
      <c r="P848" s="3"/>
      <c r="Q848" s="3"/>
      <c r="R848" s="3"/>
      <c r="S848" s="3"/>
    </row>
    <row r="849" spans="1:19" ht="26.25" x14ac:dyDescent="0.25">
      <c r="A849" s="1">
        <v>41174</v>
      </c>
      <c r="B849" s="1">
        <v>41174</v>
      </c>
      <c r="C849" s="2">
        <f t="shared" si="13"/>
        <v>1</v>
      </c>
      <c r="D849" s="6" t="s">
        <v>3962</v>
      </c>
      <c r="E849" s="3" t="s">
        <v>3963</v>
      </c>
      <c r="F849" s="4" t="s">
        <v>58</v>
      </c>
      <c r="G849" s="3" t="s">
        <v>3964</v>
      </c>
      <c r="H849" s="3" t="s">
        <v>131</v>
      </c>
      <c r="I849" s="3" t="s">
        <v>133</v>
      </c>
      <c r="J849" s="3" t="s">
        <v>61</v>
      </c>
      <c r="K849" s="3"/>
      <c r="L849" s="3"/>
      <c r="M849" s="3"/>
      <c r="N849" s="3"/>
      <c r="O849" s="3"/>
      <c r="P849" s="3"/>
      <c r="Q849" s="3"/>
      <c r="R849" s="3"/>
      <c r="S849" s="3"/>
    </row>
    <row r="850" spans="1:19" ht="39" x14ac:dyDescent="0.25">
      <c r="A850" s="1">
        <v>41181</v>
      </c>
      <c r="B850" s="1">
        <v>41181</v>
      </c>
      <c r="C850" s="2">
        <f t="shared" si="13"/>
        <v>1</v>
      </c>
      <c r="D850" s="6" t="s">
        <v>1012</v>
      </c>
      <c r="E850" s="3" t="s">
        <v>3986</v>
      </c>
      <c r="F850" s="4" t="s">
        <v>58</v>
      </c>
      <c r="G850" s="3" t="s">
        <v>509</v>
      </c>
      <c r="H850" s="3"/>
      <c r="I850" s="3" t="s">
        <v>125</v>
      </c>
      <c r="J850" s="3" t="s">
        <v>61</v>
      </c>
      <c r="K850" s="3"/>
      <c r="L850" s="3"/>
      <c r="M850" s="3"/>
      <c r="N850" s="3"/>
      <c r="O850" s="3"/>
      <c r="P850" s="3"/>
      <c r="Q850" s="3"/>
      <c r="R850" s="3"/>
      <c r="S850" s="3"/>
    </row>
    <row r="851" spans="1:19" ht="39.75" thickBot="1" x14ac:dyDescent="0.3">
      <c r="A851" s="11">
        <v>41181</v>
      </c>
      <c r="B851" s="11">
        <v>41181</v>
      </c>
      <c r="C851" s="23">
        <f t="shared" si="13"/>
        <v>1</v>
      </c>
      <c r="D851" s="28" t="s">
        <v>3988</v>
      </c>
      <c r="E851" s="12" t="s">
        <v>3989</v>
      </c>
      <c r="F851" s="24" t="s">
        <v>58</v>
      </c>
      <c r="G851" s="12" t="s">
        <v>3348</v>
      </c>
      <c r="H851" s="12" t="s">
        <v>3349</v>
      </c>
      <c r="I851" s="12" t="s">
        <v>3350</v>
      </c>
      <c r="J851" s="12" t="s">
        <v>61</v>
      </c>
      <c r="K851" s="12"/>
      <c r="L851" s="12"/>
      <c r="M851" s="12"/>
      <c r="N851" s="12"/>
      <c r="O851" s="12"/>
      <c r="P851" s="12"/>
      <c r="Q851" s="12"/>
      <c r="R851" s="12"/>
      <c r="S851" s="12"/>
    </row>
  </sheetData>
  <conditionalFormatting sqref="C1:C851">
    <cfRule type="cellIs" dxfId="1" priority="1" operator="lessThan"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6"/>
  <sheetViews>
    <sheetView workbookViewId="0">
      <selection activeCell="D13" sqref="D13"/>
    </sheetView>
  </sheetViews>
  <sheetFormatPr defaultRowHeight="15" x14ac:dyDescent="0.25"/>
  <cols>
    <col min="1" max="1" width="11" bestFit="1" customWidth="1"/>
    <col min="2" max="2" width="10.140625" bestFit="1" customWidth="1"/>
    <col min="3" max="3" width="12" bestFit="1" customWidth="1"/>
    <col min="4" max="4" width="24.140625" style="29" bestFit="1" customWidth="1"/>
    <col min="5" max="5" width="31.42578125" customWidth="1"/>
    <col min="6" max="6" width="10.28515625" bestFit="1" customWidth="1"/>
    <col min="7" max="7" width="20" customWidth="1"/>
    <col min="8" max="8" width="33" customWidth="1"/>
    <col min="9" max="9" width="13.5703125" customWidth="1"/>
    <col min="10" max="10" width="5.7109375" bestFit="1" customWidth="1"/>
    <col min="11" max="11" width="10.5703125" bestFit="1" customWidth="1"/>
    <col min="12" max="14" width="13.42578125" bestFit="1" customWidth="1"/>
    <col min="15" max="15" width="33.42578125" bestFit="1" customWidth="1"/>
    <col min="16" max="16" width="31" customWidth="1"/>
    <col min="17" max="17" width="10.5703125" bestFit="1" customWidth="1"/>
    <col min="18" max="18" width="10.28515625" bestFit="1" customWidth="1"/>
    <col min="19" max="19" width="16.140625" bestFit="1" customWidth="1"/>
  </cols>
  <sheetData>
    <row r="1" spans="1:19" ht="39" x14ac:dyDescent="0.25">
      <c r="A1" s="14" t="s">
        <v>37</v>
      </c>
      <c r="B1" s="14" t="s">
        <v>38</v>
      </c>
      <c r="C1" s="2" t="s">
        <v>39</v>
      </c>
      <c r="D1" s="26" t="s">
        <v>40</v>
      </c>
      <c r="E1" s="14" t="s">
        <v>41</v>
      </c>
      <c r="F1" s="15" t="s">
        <v>42</v>
      </c>
      <c r="G1" s="14" t="s">
        <v>43</v>
      </c>
      <c r="H1" s="14" t="s">
        <v>44</v>
      </c>
      <c r="I1" s="14" t="s">
        <v>45</v>
      </c>
      <c r="J1" s="14" t="s">
        <v>46</v>
      </c>
      <c r="K1" s="14" t="s">
        <v>47</v>
      </c>
      <c r="L1" s="14" t="s">
        <v>48</v>
      </c>
      <c r="M1" s="14" t="s">
        <v>49</v>
      </c>
      <c r="N1" s="14" t="s">
        <v>50</v>
      </c>
      <c r="O1" s="14" t="s">
        <v>51</v>
      </c>
      <c r="P1" s="14" t="s">
        <v>52</v>
      </c>
      <c r="Q1" s="14" t="s">
        <v>53</v>
      </c>
      <c r="R1" s="14" t="s">
        <v>54</v>
      </c>
      <c r="S1" s="14" t="s">
        <v>55</v>
      </c>
    </row>
    <row r="2" spans="1:19" ht="39" x14ac:dyDescent="0.25">
      <c r="A2" s="1">
        <v>40641</v>
      </c>
      <c r="B2" s="1">
        <v>43944</v>
      </c>
      <c r="C2" s="2">
        <f t="shared" ref="C2:C65" si="0">(B2-A2)+1</f>
        <v>3304</v>
      </c>
      <c r="D2" s="6" t="s">
        <v>121</v>
      </c>
      <c r="E2" s="3" t="s">
        <v>122</v>
      </c>
      <c r="F2" s="4" t="s">
        <v>58</v>
      </c>
      <c r="G2" s="3" t="s">
        <v>123</v>
      </c>
      <c r="H2" s="3" t="s">
        <v>124</v>
      </c>
      <c r="I2" s="3" t="s">
        <v>125</v>
      </c>
      <c r="J2" s="3" t="s">
        <v>61</v>
      </c>
      <c r="K2" s="3">
        <v>67801</v>
      </c>
      <c r="L2" s="3" t="s">
        <v>126</v>
      </c>
      <c r="M2" s="3"/>
      <c r="N2" s="3"/>
      <c r="O2" s="3" t="s">
        <v>127</v>
      </c>
      <c r="P2" s="3" t="s">
        <v>128</v>
      </c>
      <c r="Q2" s="3" t="s">
        <v>67</v>
      </c>
      <c r="R2" s="3" t="s">
        <v>67</v>
      </c>
      <c r="S2" s="3" t="str">
        <f>"Apr 8-23"</f>
        <v>Apr 8-23</v>
      </c>
    </row>
    <row r="3" spans="1:19" ht="26.25" x14ac:dyDescent="0.25">
      <c r="A3" s="1">
        <v>40623</v>
      </c>
      <c r="B3" s="1">
        <v>41274</v>
      </c>
      <c r="C3" s="2">
        <f t="shared" si="0"/>
        <v>652</v>
      </c>
      <c r="D3" s="6" t="s">
        <v>101</v>
      </c>
      <c r="E3" s="3" t="s">
        <v>102</v>
      </c>
      <c r="F3" s="4" t="s">
        <v>58</v>
      </c>
      <c r="G3" s="3" t="s">
        <v>103</v>
      </c>
      <c r="H3" s="3" t="s">
        <v>104</v>
      </c>
      <c r="I3" s="3" t="s">
        <v>105</v>
      </c>
      <c r="J3" s="3" t="s">
        <v>61</v>
      </c>
      <c r="K3" s="3">
        <v>66045</v>
      </c>
      <c r="L3" s="3" t="s">
        <v>106</v>
      </c>
      <c r="M3" s="3"/>
      <c r="N3" s="3"/>
      <c r="O3" s="3"/>
      <c r="P3" s="3" t="s">
        <v>107</v>
      </c>
      <c r="Q3" s="3"/>
      <c r="R3" s="3" t="s">
        <v>67</v>
      </c>
      <c r="S3" s="3" t="str">
        <f>"Mar 21-Dec 31"</f>
        <v>Mar 21-Dec 31</v>
      </c>
    </row>
    <row r="4" spans="1:19" ht="26.25" x14ac:dyDescent="0.25">
      <c r="A4" s="1">
        <v>40675</v>
      </c>
      <c r="B4" s="1">
        <v>41041</v>
      </c>
      <c r="C4" s="2">
        <f t="shared" si="0"/>
        <v>367</v>
      </c>
      <c r="D4" s="6" t="s">
        <v>195</v>
      </c>
      <c r="E4" s="3" t="s">
        <v>196</v>
      </c>
      <c r="F4" s="4" t="s">
        <v>58</v>
      </c>
      <c r="G4" s="3" t="s">
        <v>197</v>
      </c>
      <c r="H4" s="3" t="s">
        <v>198</v>
      </c>
      <c r="I4" s="3" t="s">
        <v>199</v>
      </c>
      <c r="J4" s="3" t="s">
        <v>61</v>
      </c>
      <c r="K4" s="3">
        <v>67068</v>
      </c>
      <c r="L4" s="3" t="s">
        <v>200</v>
      </c>
      <c r="M4" s="3"/>
      <c r="N4" s="3"/>
      <c r="O4" s="3" t="s">
        <v>201</v>
      </c>
      <c r="P4" s="3" t="s">
        <v>202</v>
      </c>
      <c r="Q4" s="3" t="s">
        <v>67</v>
      </c>
      <c r="R4" s="3"/>
      <c r="S4" s="3" t="str">
        <f>"May 12-12"</f>
        <v>May 12-12</v>
      </c>
    </row>
    <row r="5" spans="1:19" ht="26.25" x14ac:dyDescent="0.25">
      <c r="A5" s="1">
        <v>40893</v>
      </c>
      <c r="B5" s="1">
        <v>41259</v>
      </c>
      <c r="C5" s="2">
        <f t="shared" si="0"/>
        <v>367</v>
      </c>
      <c r="D5" s="6" t="s">
        <v>2645</v>
      </c>
      <c r="E5" s="3" t="s">
        <v>2646</v>
      </c>
      <c r="F5" s="4" t="s">
        <v>58</v>
      </c>
      <c r="G5" s="3" t="s">
        <v>2647</v>
      </c>
      <c r="H5" s="3" t="s">
        <v>2648</v>
      </c>
      <c r="I5" s="3" t="s">
        <v>2649</v>
      </c>
      <c r="J5" s="3" t="s">
        <v>61</v>
      </c>
      <c r="K5" s="3">
        <v>67846</v>
      </c>
      <c r="L5" s="3" t="s">
        <v>2650</v>
      </c>
      <c r="M5" s="3" t="s">
        <v>2651</v>
      </c>
      <c r="N5" s="3" t="s">
        <v>2652</v>
      </c>
      <c r="O5" s="3" t="s">
        <v>2653</v>
      </c>
      <c r="P5" s="3"/>
      <c r="Q5" s="3" t="s">
        <v>67</v>
      </c>
      <c r="R5" s="3"/>
      <c r="S5" s="3" t="str">
        <f>"Dec 16-16"</f>
        <v>Dec 16-16</v>
      </c>
    </row>
    <row r="6" spans="1:19" ht="51.75" x14ac:dyDescent="0.25">
      <c r="A6" s="1">
        <v>40732</v>
      </c>
      <c r="B6" s="1">
        <v>41077</v>
      </c>
      <c r="C6" s="2">
        <f t="shared" si="0"/>
        <v>346</v>
      </c>
      <c r="D6" s="6" t="s">
        <v>241</v>
      </c>
      <c r="E6" s="3" t="s">
        <v>242</v>
      </c>
      <c r="F6" s="4" t="s">
        <v>58</v>
      </c>
      <c r="G6" s="3" t="s">
        <v>243</v>
      </c>
      <c r="H6" s="3" t="s">
        <v>244</v>
      </c>
      <c r="I6" s="3" t="s">
        <v>245</v>
      </c>
      <c r="J6" s="3" t="s">
        <v>61</v>
      </c>
      <c r="K6" s="3">
        <v>67401</v>
      </c>
      <c r="L6" s="3" t="s">
        <v>246</v>
      </c>
      <c r="M6" s="3"/>
      <c r="N6" s="3"/>
      <c r="O6" s="3" t="s">
        <v>247</v>
      </c>
      <c r="P6" s="3" t="s">
        <v>248</v>
      </c>
      <c r="Q6" s="3" t="s">
        <v>67</v>
      </c>
      <c r="R6" s="3"/>
      <c r="S6" s="3" t="str">
        <f>"Jul 8-Jun 17"</f>
        <v>Jul 8-Jun 17</v>
      </c>
    </row>
    <row r="7" spans="1:19" ht="39" x14ac:dyDescent="0.25">
      <c r="A7" s="1">
        <v>40571</v>
      </c>
      <c r="B7" s="1">
        <v>40908</v>
      </c>
      <c r="C7" s="2">
        <f t="shared" si="0"/>
        <v>338</v>
      </c>
      <c r="D7" s="6" t="s">
        <v>56</v>
      </c>
      <c r="E7" s="3" t="s">
        <v>57</v>
      </c>
      <c r="F7" s="4" t="s">
        <v>58</v>
      </c>
      <c r="G7" s="3" t="s">
        <v>59</v>
      </c>
      <c r="H7" s="3"/>
      <c r="I7" s="3" t="s">
        <v>60</v>
      </c>
      <c r="J7" s="3" t="s">
        <v>61</v>
      </c>
      <c r="K7" s="3" t="s">
        <v>62</v>
      </c>
      <c r="L7" s="3" t="s">
        <v>63</v>
      </c>
      <c r="M7" s="3"/>
      <c r="N7" s="3" t="s">
        <v>64</v>
      </c>
      <c r="O7" s="3" t="s">
        <v>65</v>
      </c>
      <c r="P7" s="3" t="s">
        <v>66</v>
      </c>
      <c r="Q7" s="3" t="s">
        <v>67</v>
      </c>
      <c r="R7" s="3" t="s">
        <v>67</v>
      </c>
      <c r="S7" s="3" t="str">
        <f>"Jan 28-Dec 31"</f>
        <v>Jan 28-Dec 31</v>
      </c>
    </row>
    <row r="8" spans="1:19" ht="26.25" x14ac:dyDescent="0.25">
      <c r="A8" s="1">
        <v>40572</v>
      </c>
      <c r="B8" s="1">
        <v>40908</v>
      </c>
      <c r="C8" s="2">
        <f t="shared" si="0"/>
        <v>337</v>
      </c>
      <c r="D8" s="6" t="s">
        <v>74</v>
      </c>
      <c r="E8" s="3" t="s">
        <v>75</v>
      </c>
      <c r="F8" s="4" t="s">
        <v>58</v>
      </c>
      <c r="G8" s="3" t="s">
        <v>76</v>
      </c>
      <c r="H8" s="3"/>
      <c r="I8" s="3" t="s">
        <v>77</v>
      </c>
      <c r="J8" s="3" t="s">
        <v>61</v>
      </c>
      <c r="K8" s="3">
        <v>66067</v>
      </c>
      <c r="L8" s="3" t="s">
        <v>78</v>
      </c>
      <c r="M8" s="3"/>
      <c r="N8" s="3"/>
      <c r="O8" s="3" t="s">
        <v>79</v>
      </c>
      <c r="P8" s="3" t="s">
        <v>80</v>
      </c>
      <c r="Q8" s="3" t="s">
        <v>67</v>
      </c>
      <c r="R8" s="3"/>
      <c r="S8" s="3" t="str">
        <f>"Jan 29-Dec 31"</f>
        <v>Jan 29-Dec 31</v>
      </c>
    </row>
    <row r="9" spans="1:19" ht="39" x14ac:dyDescent="0.25">
      <c r="A9" s="1">
        <v>40600</v>
      </c>
      <c r="B9" s="1">
        <v>40894</v>
      </c>
      <c r="C9" s="2">
        <f t="shared" si="0"/>
        <v>295</v>
      </c>
      <c r="D9" s="6" t="s">
        <v>81</v>
      </c>
      <c r="E9" s="3" t="s">
        <v>82</v>
      </c>
      <c r="F9" s="4" t="s">
        <v>58</v>
      </c>
      <c r="G9" s="3" t="s">
        <v>83</v>
      </c>
      <c r="H9" s="3" t="s">
        <v>84</v>
      </c>
      <c r="I9" s="3" t="s">
        <v>85</v>
      </c>
      <c r="J9" s="3" t="s">
        <v>61</v>
      </c>
      <c r="K9" s="3">
        <v>67501</v>
      </c>
      <c r="L9" s="3" t="s">
        <v>86</v>
      </c>
      <c r="M9" s="3"/>
      <c r="N9" s="3"/>
      <c r="O9" s="3" t="s">
        <v>87</v>
      </c>
      <c r="P9" s="3"/>
      <c r="Q9" s="3" t="s">
        <v>67</v>
      </c>
      <c r="R9" s="3" t="s">
        <v>67</v>
      </c>
      <c r="S9" s="3" t="str">
        <f>"Feb 26-Dec 17"</f>
        <v>Feb 26-Dec 17</v>
      </c>
    </row>
    <row r="10" spans="1:19" ht="39" x14ac:dyDescent="0.25">
      <c r="A10" s="1">
        <v>40616</v>
      </c>
      <c r="B10" s="1">
        <v>40892</v>
      </c>
      <c r="C10" s="2">
        <f t="shared" si="0"/>
        <v>277</v>
      </c>
      <c r="D10" s="6" t="s">
        <v>95</v>
      </c>
      <c r="E10" s="3" t="s">
        <v>96</v>
      </c>
      <c r="F10" s="4" t="s">
        <v>58</v>
      </c>
      <c r="G10" s="3" t="s">
        <v>97</v>
      </c>
      <c r="H10" s="3"/>
      <c r="I10" s="3" t="s">
        <v>98</v>
      </c>
      <c r="J10" s="3" t="s">
        <v>61</v>
      </c>
      <c r="K10" s="3">
        <v>67501</v>
      </c>
      <c r="L10" s="3" t="s">
        <v>99</v>
      </c>
      <c r="M10" s="3"/>
      <c r="N10" s="3"/>
      <c r="O10" s="3"/>
      <c r="P10" s="3" t="s">
        <v>100</v>
      </c>
      <c r="Q10" s="3" t="s">
        <v>67</v>
      </c>
      <c r="R10" s="3"/>
      <c r="S10" s="3" t="str">
        <f>"Mar 14-Dec 15"</f>
        <v>Mar 14-Dec 15</v>
      </c>
    </row>
    <row r="11" spans="1:19" ht="26.25" x14ac:dyDescent="0.25">
      <c r="A11" s="1">
        <v>40605</v>
      </c>
      <c r="B11" s="1">
        <v>40878</v>
      </c>
      <c r="C11" s="2">
        <f t="shared" si="0"/>
        <v>274</v>
      </c>
      <c r="D11" s="6" t="s">
        <v>88</v>
      </c>
      <c r="E11" s="3" t="s">
        <v>89</v>
      </c>
      <c r="F11" s="4" t="s">
        <v>58</v>
      </c>
      <c r="G11" s="3" t="s">
        <v>90</v>
      </c>
      <c r="H11" s="3"/>
      <c r="I11" s="3" t="s">
        <v>91</v>
      </c>
      <c r="J11" s="3" t="s">
        <v>61</v>
      </c>
      <c r="K11" s="3">
        <v>66801</v>
      </c>
      <c r="L11" s="3" t="s">
        <v>92</v>
      </c>
      <c r="M11" s="3"/>
      <c r="N11" s="3"/>
      <c r="O11" s="3" t="s">
        <v>93</v>
      </c>
      <c r="P11" s="3" t="s">
        <v>94</v>
      </c>
      <c r="Q11" s="3"/>
      <c r="R11" s="3"/>
      <c r="S11" s="3" t="str">
        <f>"Mar 3-Dec 1"</f>
        <v>Mar 3-Dec 1</v>
      </c>
    </row>
    <row r="12" spans="1:19" ht="39" x14ac:dyDescent="0.25">
      <c r="A12" s="1">
        <v>40651</v>
      </c>
      <c r="B12" s="1">
        <v>40908</v>
      </c>
      <c r="C12" s="2">
        <f t="shared" si="0"/>
        <v>258</v>
      </c>
      <c r="D12" s="6" t="s">
        <v>137</v>
      </c>
      <c r="E12" s="3" t="s">
        <v>138</v>
      </c>
      <c r="F12" s="4" t="s">
        <v>58</v>
      </c>
      <c r="G12" s="3" t="s">
        <v>139</v>
      </c>
      <c r="H12" s="3" t="s">
        <v>140</v>
      </c>
      <c r="I12" s="3" t="s">
        <v>105</v>
      </c>
      <c r="J12" s="3" t="s">
        <v>61</v>
      </c>
      <c r="K12" s="3">
        <v>66044</v>
      </c>
      <c r="L12" s="3" t="s">
        <v>141</v>
      </c>
      <c r="M12" s="3"/>
      <c r="N12" s="3"/>
      <c r="O12" s="3"/>
      <c r="P12" s="3" t="s">
        <v>142</v>
      </c>
      <c r="Q12" s="3" t="s">
        <v>67</v>
      </c>
      <c r="R12" s="3"/>
      <c r="S12" s="3" t="str">
        <f>"Apr 18-Dec 31"</f>
        <v>Apr 18-Dec 31</v>
      </c>
    </row>
    <row r="13" spans="1:19" ht="39" x14ac:dyDescent="0.25">
      <c r="A13" s="1">
        <v>40572</v>
      </c>
      <c r="B13" s="1">
        <v>40817</v>
      </c>
      <c r="C13" s="2">
        <f t="shared" si="0"/>
        <v>246</v>
      </c>
      <c r="D13" s="6" t="s">
        <v>68</v>
      </c>
      <c r="E13" s="3" t="s">
        <v>69</v>
      </c>
      <c r="F13" s="4" t="s">
        <v>58</v>
      </c>
      <c r="G13" s="3" t="s">
        <v>70</v>
      </c>
      <c r="H13" s="3"/>
      <c r="I13" s="3" t="s">
        <v>71</v>
      </c>
      <c r="J13" s="3" t="s">
        <v>61</v>
      </c>
      <c r="K13" s="3">
        <v>67202</v>
      </c>
      <c r="L13" s="3" t="s">
        <v>72</v>
      </c>
      <c r="M13" s="3"/>
      <c r="N13" s="3"/>
      <c r="O13" s="3"/>
      <c r="P13" s="3" t="s">
        <v>73</v>
      </c>
      <c r="Q13" s="3" t="s">
        <v>67</v>
      </c>
      <c r="R13" s="3" t="s">
        <v>67</v>
      </c>
      <c r="S13" s="3" t="str">
        <f>"Jan 29-Oct 1"</f>
        <v>Jan 29-Oct 1</v>
      </c>
    </row>
    <row r="14" spans="1:19" ht="26.25" x14ac:dyDescent="0.25">
      <c r="A14" s="1">
        <v>40639</v>
      </c>
      <c r="B14" s="1">
        <v>40884</v>
      </c>
      <c r="C14" s="2">
        <f t="shared" si="0"/>
        <v>246</v>
      </c>
      <c r="D14" s="6" t="s">
        <v>116</v>
      </c>
      <c r="E14" s="3" t="s">
        <v>116</v>
      </c>
      <c r="F14" s="4" t="s">
        <v>58</v>
      </c>
      <c r="G14" s="3" t="s">
        <v>117</v>
      </c>
      <c r="H14" s="3" t="s">
        <v>118</v>
      </c>
      <c r="I14" s="3" t="s">
        <v>60</v>
      </c>
      <c r="J14" s="3" t="s">
        <v>61</v>
      </c>
      <c r="K14" s="3">
        <v>66606</v>
      </c>
      <c r="L14" s="3" t="s">
        <v>119</v>
      </c>
      <c r="M14" s="3"/>
      <c r="N14" s="3"/>
      <c r="O14" s="3"/>
      <c r="P14" s="3" t="s">
        <v>120</v>
      </c>
      <c r="Q14" s="3"/>
      <c r="R14" s="3"/>
      <c r="S14" s="3" t="str">
        <f>"Apr 6-Dec 7"</f>
        <v>Apr 6-Dec 7</v>
      </c>
    </row>
    <row r="15" spans="1:19" ht="26.25" x14ac:dyDescent="0.25">
      <c r="A15" s="1">
        <v>40654</v>
      </c>
      <c r="B15" s="1">
        <v>40892</v>
      </c>
      <c r="C15" s="2">
        <f t="shared" si="0"/>
        <v>239</v>
      </c>
      <c r="D15" s="6" t="s">
        <v>143</v>
      </c>
      <c r="E15" s="3" t="s">
        <v>144</v>
      </c>
      <c r="F15" s="4" t="s">
        <v>58</v>
      </c>
      <c r="G15" s="3" t="s">
        <v>145</v>
      </c>
      <c r="H15" s="3"/>
      <c r="I15" s="3" t="s">
        <v>85</v>
      </c>
      <c r="J15" s="3" t="s">
        <v>61</v>
      </c>
      <c r="K15" s="3">
        <v>67501</v>
      </c>
      <c r="L15" s="3" t="s">
        <v>146</v>
      </c>
      <c r="M15" s="3" t="s">
        <v>147</v>
      </c>
      <c r="N15" s="3"/>
      <c r="O15" s="3" t="s">
        <v>148</v>
      </c>
      <c r="P15" s="3" t="s">
        <v>149</v>
      </c>
      <c r="Q15" s="3" t="s">
        <v>67</v>
      </c>
      <c r="R15" s="3"/>
      <c r="S15" s="3" t="str">
        <f>"Apr 21-Dec 15"</f>
        <v>Apr 21-Dec 15</v>
      </c>
    </row>
    <row r="16" spans="1:19" ht="26.25" x14ac:dyDescent="0.25">
      <c r="A16" s="1">
        <v>40670</v>
      </c>
      <c r="B16" s="1">
        <v>40908</v>
      </c>
      <c r="C16" s="2">
        <f t="shared" si="0"/>
        <v>239</v>
      </c>
      <c r="D16" s="6" t="s">
        <v>189</v>
      </c>
      <c r="E16" s="3" t="s">
        <v>190</v>
      </c>
      <c r="F16" s="4" t="s">
        <v>58</v>
      </c>
      <c r="G16" s="3" t="s">
        <v>191</v>
      </c>
      <c r="H16" s="3" t="s">
        <v>192</v>
      </c>
      <c r="I16" s="3" t="s">
        <v>193</v>
      </c>
      <c r="J16" s="3" t="s">
        <v>61</v>
      </c>
      <c r="K16" s="3">
        <v>67530</v>
      </c>
      <c r="L16" s="3" t="s">
        <v>194</v>
      </c>
      <c r="M16" s="3"/>
      <c r="N16" s="3"/>
      <c r="O16" s="3"/>
      <c r="P16" s="3"/>
      <c r="Q16" s="3" t="s">
        <v>67</v>
      </c>
      <c r="R16" s="3"/>
      <c r="S16" s="3" t="str">
        <f>"May 7-Dec 31"</f>
        <v>May 7-Dec 31</v>
      </c>
    </row>
    <row r="17" spans="1:19" ht="26.25" x14ac:dyDescent="0.25">
      <c r="A17" s="1">
        <v>40634</v>
      </c>
      <c r="B17" s="1">
        <v>40858</v>
      </c>
      <c r="C17" s="2">
        <f t="shared" si="0"/>
        <v>225</v>
      </c>
      <c r="D17" s="6" t="s">
        <v>108</v>
      </c>
      <c r="E17" s="3" t="s">
        <v>109</v>
      </c>
      <c r="F17" s="4" t="s">
        <v>58</v>
      </c>
      <c r="G17" s="3" t="s">
        <v>110</v>
      </c>
      <c r="H17" s="3" t="s">
        <v>111</v>
      </c>
      <c r="I17" s="3" t="s">
        <v>112</v>
      </c>
      <c r="J17" s="3" t="s">
        <v>61</v>
      </c>
      <c r="K17" s="3">
        <v>66101</v>
      </c>
      <c r="L17" s="3" t="s">
        <v>113</v>
      </c>
      <c r="M17" s="3"/>
      <c r="N17" s="3"/>
      <c r="O17" s="3" t="s">
        <v>114</v>
      </c>
      <c r="P17" s="3" t="s">
        <v>115</v>
      </c>
      <c r="Q17" s="3"/>
      <c r="R17" s="3" t="s">
        <v>67</v>
      </c>
      <c r="S17" s="3" t="str">
        <f>"Apr 1-Nov 11"</f>
        <v>Apr 1-Nov 11</v>
      </c>
    </row>
    <row r="18" spans="1:19" ht="39" x14ac:dyDescent="0.25">
      <c r="A18" s="1">
        <v>40719</v>
      </c>
      <c r="B18" s="1">
        <v>40937</v>
      </c>
      <c r="C18" s="2">
        <f t="shared" si="0"/>
        <v>219</v>
      </c>
      <c r="D18" s="6" t="s">
        <v>223</v>
      </c>
      <c r="E18" s="3" t="s">
        <v>224</v>
      </c>
      <c r="F18" s="4" t="s">
        <v>58</v>
      </c>
      <c r="G18" s="3" t="s">
        <v>225</v>
      </c>
      <c r="H18" s="3" t="s">
        <v>226</v>
      </c>
      <c r="I18" s="3" t="s">
        <v>227</v>
      </c>
      <c r="J18" s="3" t="s">
        <v>61</v>
      </c>
      <c r="K18" s="3">
        <v>67410</v>
      </c>
      <c r="L18" s="3" t="s">
        <v>228</v>
      </c>
      <c r="M18" s="3" t="s">
        <v>229</v>
      </c>
      <c r="N18" s="3"/>
      <c r="O18" s="3" t="s">
        <v>230</v>
      </c>
      <c r="P18" s="3" t="s">
        <v>231</v>
      </c>
      <c r="Q18" s="3" t="s">
        <v>67</v>
      </c>
      <c r="R18" s="3" t="s">
        <v>67</v>
      </c>
      <c r="S18" s="3" t="str">
        <f>"Jun 25-Jan 29"</f>
        <v>Jun 25-Jan 29</v>
      </c>
    </row>
    <row r="19" spans="1:19" ht="26.25" x14ac:dyDescent="0.25">
      <c r="A19" s="1">
        <v>40656</v>
      </c>
      <c r="B19" s="1">
        <v>40852</v>
      </c>
      <c r="C19" s="2">
        <f t="shared" si="0"/>
        <v>197</v>
      </c>
      <c r="D19" s="6" t="s">
        <v>150</v>
      </c>
      <c r="E19" s="3" t="s">
        <v>151</v>
      </c>
      <c r="F19" s="4" t="s">
        <v>58</v>
      </c>
      <c r="G19" s="3" t="s">
        <v>152</v>
      </c>
      <c r="H19" s="3" t="s">
        <v>153</v>
      </c>
      <c r="I19" s="3" t="s">
        <v>105</v>
      </c>
      <c r="J19" s="3" t="s">
        <v>61</v>
      </c>
      <c r="K19" s="3">
        <v>66044</v>
      </c>
      <c r="L19" s="3" t="s">
        <v>154</v>
      </c>
      <c r="M19" s="3"/>
      <c r="N19" s="3"/>
      <c r="O19" s="3"/>
      <c r="P19" s="3" t="s">
        <v>155</v>
      </c>
      <c r="Q19" s="3" t="s">
        <v>67</v>
      </c>
      <c r="R19" s="3"/>
      <c r="S19" s="3" t="str">
        <f>"Apr 23-Nov 5"</f>
        <v>Apr 23-Nov 5</v>
      </c>
    </row>
    <row r="20" spans="1:19" ht="26.25" x14ac:dyDescent="0.25">
      <c r="A20" s="1">
        <v>41020</v>
      </c>
      <c r="B20" s="1">
        <v>41216</v>
      </c>
      <c r="C20" s="2">
        <f t="shared" si="0"/>
        <v>197</v>
      </c>
      <c r="D20" s="6" t="s">
        <v>3097</v>
      </c>
      <c r="E20" s="3" t="s">
        <v>151</v>
      </c>
      <c r="F20" s="4" t="s">
        <v>58</v>
      </c>
      <c r="G20" s="3" t="s">
        <v>3098</v>
      </c>
      <c r="H20" s="3"/>
      <c r="I20" s="3" t="s">
        <v>105</v>
      </c>
      <c r="J20" s="3" t="s">
        <v>61</v>
      </c>
      <c r="K20" s="3">
        <v>66044</v>
      </c>
      <c r="L20" s="3" t="s">
        <v>154</v>
      </c>
      <c r="M20" s="3"/>
      <c r="N20" s="3"/>
      <c r="O20" s="3"/>
      <c r="P20" s="3"/>
      <c r="Q20" s="3" t="s">
        <v>67</v>
      </c>
      <c r="R20" s="3"/>
      <c r="S20" s="3" t="str">
        <f>"Apr 21-Nov 3"</f>
        <v>Apr 21-Nov 3</v>
      </c>
    </row>
    <row r="21" spans="1:19" ht="39" x14ac:dyDescent="0.25">
      <c r="A21" s="1">
        <v>40664</v>
      </c>
      <c r="B21" s="1">
        <v>40847</v>
      </c>
      <c r="C21" s="2">
        <f t="shared" si="0"/>
        <v>184</v>
      </c>
      <c r="D21" s="6" t="s">
        <v>161</v>
      </c>
      <c r="E21" s="3" t="s">
        <v>162</v>
      </c>
      <c r="F21" s="4" t="s">
        <v>58</v>
      </c>
      <c r="G21" s="3" t="s">
        <v>163</v>
      </c>
      <c r="H21" s="3" t="s">
        <v>164</v>
      </c>
      <c r="I21" s="3" t="s">
        <v>165</v>
      </c>
      <c r="J21" s="3" t="s">
        <v>61</v>
      </c>
      <c r="K21" s="3">
        <v>66221</v>
      </c>
      <c r="L21" s="3" t="s">
        <v>166</v>
      </c>
      <c r="M21" s="3"/>
      <c r="N21" s="3"/>
      <c r="O21" s="3"/>
      <c r="P21" s="3" t="s">
        <v>167</v>
      </c>
      <c r="Q21" s="3" t="s">
        <v>67</v>
      </c>
      <c r="R21" s="3"/>
      <c r="S21" s="3" t="str">
        <f>"May 1-Oct 31"</f>
        <v>May 1-Oct 31</v>
      </c>
    </row>
    <row r="22" spans="1:19" ht="39" x14ac:dyDescent="0.25">
      <c r="A22" s="1">
        <v>40650</v>
      </c>
      <c r="B22" s="1">
        <v>40832</v>
      </c>
      <c r="C22" s="2">
        <f t="shared" si="0"/>
        <v>183</v>
      </c>
      <c r="D22" s="6" t="s">
        <v>129</v>
      </c>
      <c r="E22" s="3" t="s">
        <v>130</v>
      </c>
      <c r="F22" s="4" t="s">
        <v>58</v>
      </c>
      <c r="G22" s="3" t="s">
        <v>131</v>
      </c>
      <c r="H22" s="3" t="s">
        <v>132</v>
      </c>
      <c r="I22" s="3" t="s">
        <v>133</v>
      </c>
      <c r="J22" s="3" t="s">
        <v>61</v>
      </c>
      <c r="K22" s="3">
        <v>66845</v>
      </c>
      <c r="L22" s="3" t="s">
        <v>134</v>
      </c>
      <c r="M22" s="3"/>
      <c r="N22" s="3"/>
      <c r="O22" s="3" t="s">
        <v>135</v>
      </c>
      <c r="P22" s="3" t="s">
        <v>136</v>
      </c>
      <c r="Q22" s="3" t="s">
        <v>67</v>
      </c>
      <c r="R22" s="3" t="s">
        <v>67</v>
      </c>
      <c r="S22" s="3" t="str">
        <f>"Apr 17-Oct 16"</f>
        <v>Apr 17-Oct 16</v>
      </c>
    </row>
    <row r="23" spans="1:19" ht="51.75" x14ac:dyDescent="0.25">
      <c r="A23" s="1">
        <v>40705</v>
      </c>
      <c r="B23" s="1">
        <v>40887</v>
      </c>
      <c r="C23" s="2">
        <f t="shared" si="0"/>
        <v>183</v>
      </c>
      <c r="D23" s="6" t="s">
        <v>217</v>
      </c>
      <c r="E23" s="3" t="s">
        <v>218</v>
      </c>
      <c r="F23" s="4" t="s">
        <v>58</v>
      </c>
      <c r="G23" s="3" t="s">
        <v>219</v>
      </c>
      <c r="H23" s="3"/>
      <c r="I23" s="3" t="s">
        <v>159</v>
      </c>
      <c r="J23" s="3" t="s">
        <v>61</v>
      </c>
      <c r="K23" s="3">
        <v>67301</v>
      </c>
      <c r="L23" s="3" t="s">
        <v>220</v>
      </c>
      <c r="M23" s="3"/>
      <c r="N23" s="3"/>
      <c r="O23" s="3" t="s">
        <v>221</v>
      </c>
      <c r="P23" s="3" t="s">
        <v>222</v>
      </c>
      <c r="Q23" s="3" t="s">
        <v>67</v>
      </c>
      <c r="R23" s="3"/>
      <c r="S23" s="3" t="str">
        <f>"Jun 11-Dec 10"</f>
        <v>Jun 11-Dec 10</v>
      </c>
    </row>
    <row r="24" spans="1:19" ht="39" x14ac:dyDescent="0.25">
      <c r="A24" s="1">
        <v>40670</v>
      </c>
      <c r="B24" s="1">
        <v>40846</v>
      </c>
      <c r="C24" s="2">
        <f t="shared" si="0"/>
        <v>177</v>
      </c>
      <c r="D24" s="6" t="s">
        <v>183</v>
      </c>
      <c r="E24" s="3" t="s">
        <v>184</v>
      </c>
      <c r="F24" s="4" t="s">
        <v>58</v>
      </c>
      <c r="G24" s="3" t="s">
        <v>185</v>
      </c>
      <c r="H24" s="3"/>
      <c r="I24" s="3" t="s">
        <v>91</v>
      </c>
      <c r="J24" s="3" t="s">
        <v>61</v>
      </c>
      <c r="K24" s="3">
        <v>66801</v>
      </c>
      <c r="L24" s="3" t="s">
        <v>186</v>
      </c>
      <c r="M24" s="3"/>
      <c r="N24" s="3"/>
      <c r="O24" s="3" t="s">
        <v>187</v>
      </c>
      <c r="P24" s="3" t="s">
        <v>188</v>
      </c>
      <c r="Q24" s="3"/>
      <c r="R24" s="3"/>
      <c r="S24" s="3" t="str">
        <f>"May 7-Oct 30"</f>
        <v>May 7-Oct 30</v>
      </c>
    </row>
    <row r="25" spans="1:19" ht="39" x14ac:dyDescent="0.25">
      <c r="A25" s="1">
        <v>40670</v>
      </c>
      <c r="B25" s="1">
        <v>40845</v>
      </c>
      <c r="C25" s="2">
        <f t="shared" si="0"/>
        <v>176</v>
      </c>
      <c r="D25" s="6" t="s">
        <v>176</v>
      </c>
      <c r="E25" s="3" t="s">
        <v>177</v>
      </c>
      <c r="F25" s="4" t="s">
        <v>58</v>
      </c>
      <c r="G25" s="3" t="s">
        <v>178</v>
      </c>
      <c r="H25" s="3"/>
      <c r="I25" s="3" t="s">
        <v>179</v>
      </c>
      <c r="J25" s="3" t="s">
        <v>61</v>
      </c>
      <c r="K25" s="3">
        <v>66508</v>
      </c>
      <c r="L25" s="3" t="s">
        <v>180</v>
      </c>
      <c r="M25" s="3"/>
      <c r="N25" s="3"/>
      <c r="O25" s="3" t="s">
        <v>181</v>
      </c>
      <c r="P25" s="3" t="s">
        <v>182</v>
      </c>
      <c r="Q25" s="3"/>
      <c r="R25" s="3"/>
      <c r="S25" s="3" t="str">
        <f>"May 7-Oct 29"</f>
        <v>May 7-Oct 29</v>
      </c>
    </row>
    <row r="26" spans="1:19" ht="26.25" x14ac:dyDescent="0.25">
      <c r="A26" s="1">
        <v>40677</v>
      </c>
      <c r="B26" s="1">
        <v>40845</v>
      </c>
      <c r="C26" s="2">
        <f t="shared" si="0"/>
        <v>169</v>
      </c>
      <c r="D26" s="6" t="s">
        <v>203</v>
      </c>
      <c r="E26" s="3" t="s">
        <v>204</v>
      </c>
      <c r="F26" s="4" t="s">
        <v>58</v>
      </c>
      <c r="G26" s="3" t="s">
        <v>205</v>
      </c>
      <c r="H26" s="3"/>
      <c r="I26" s="3" t="s">
        <v>85</v>
      </c>
      <c r="J26" s="3" t="s">
        <v>61</v>
      </c>
      <c r="K26" s="3">
        <v>67501</v>
      </c>
      <c r="L26" s="3" t="s">
        <v>206</v>
      </c>
      <c r="M26" s="3"/>
      <c r="N26" s="3"/>
      <c r="O26" s="3"/>
      <c r="P26" s="3"/>
      <c r="Q26" s="3" t="s">
        <v>67</v>
      </c>
      <c r="R26" s="3"/>
      <c r="S26" s="3" t="str">
        <f>"May 14-Oct 29"</f>
        <v>May 14-Oct 29</v>
      </c>
    </row>
    <row r="27" spans="1:19" ht="39" x14ac:dyDescent="0.25">
      <c r="A27" s="1">
        <v>40670</v>
      </c>
      <c r="B27" s="1">
        <v>40832</v>
      </c>
      <c r="C27" s="2">
        <f t="shared" si="0"/>
        <v>163</v>
      </c>
      <c r="D27" s="6" t="s">
        <v>168</v>
      </c>
      <c r="E27" s="3" t="s">
        <v>169</v>
      </c>
      <c r="F27" s="4" t="s">
        <v>58</v>
      </c>
      <c r="G27" s="3" t="s">
        <v>170</v>
      </c>
      <c r="H27" s="3" t="s">
        <v>171</v>
      </c>
      <c r="I27" s="3" t="s">
        <v>172</v>
      </c>
      <c r="J27" s="3" t="s">
        <v>61</v>
      </c>
      <c r="K27" s="3">
        <v>66006</v>
      </c>
      <c r="L27" s="3" t="s">
        <v>173</v>
      </c>
      <c r="M27" s="3"/>
      <c r="N27" s="3"/>
      <c r="O27" s="3" t="s">
        <v>174</v>
      </c>
      <c r="P27" s="3" t="s">
        <v>175</v>
      </c>
      <c r="Q27" s="3"/>
      <c r="R27" s="3"/>
      <c r="S27" s="3" t="str">
        <f>"May 7-Oct 16"</f>
        <v>May 7-Oct 16</v>
      </c>
    </row>
    <row r="28" spans="1:19" ht="39" x14ac:dyDescent="0.25">
      <c r="A28" s="1">
        <v>41030</v>
      </c>
      <c r="B28" s="1">
        <v>41192</v>
      </c>
      <c r="C28" s="2">
        <f t="shared" si="0"/>
        <v>163</v>
      </c>
      <c r="D28" s="6" t="s">
        <v>3182</v>
      </c>
      <c r="E28" s="3" t="s">
        <v>3183</v>
      </c>
      <c r="F28" s="4" t="s">
        <v>58</v>
      </c>
      <c r="G28" s="3" t="s">
        <v>3184</v>
      </c>
      <c r="H28" s="3" t="s">
        <v>3185</v>
      </c>
      <c r="I28" s="3" t="s">
        <v>1866</v>
      </c>
      <c r="J28" s="3" t="s">
        <v>61</v>
      </c>
      <c r="K28" s="3">
        <v>67104</v>
      </c>
      <c r="L28" s="3" t="s">
        <v>3186</v>
      </c>
      <c r="M28" s="3"/>
      <c r="N28" s="3"/>
      <c r="O28" s="3" t="s">
        <v>3187</v>
      </c>
      <c r="P28" s="3" t="s">
        <v>3188</v>
      </c>
      <c r="Q28" s="3"/>
      <c r="R28" s="3" t="s">
        <v>67</v>
      </c>
      <c r="S28" s="3" t="str">
        <f>"May 1-Oct 10"</f>
        <v>May 1-Oct 10</v>
      </c>
    </row>
    <row r="29" spans="1:19" ht="26.25" x14ac:dyDescent="0.25">
      <c r="A29" s="1">
        <v>40691</v>
      </c>
      <c r="B29" s="1">
        <v>40845</v>
      </c>
      <c r="C29" s="2">
        <f t="shared" si="0"/>
        <v>155</v>
      </c>
      <c r="D29" s="6" t="s">
        <v>207</v>
      </c>
      <c r="E29" s="3" t="s">
        <v>208</v>
      </c>
      <c r="F29" s="4" t="s">
        <v>58</v>
      </c>
      <c r="G29" s="3" t="s">
        <v>209</v>
      </c>
      <c r="H29" s="3"/>
      <c r="I29" s="3" t="s">
        <v>210</v>
      </c>
      <c r="J29" s="3" t="s">
        <v>61</v>
      </c>
      <c r="K29" s="3">
        <v>66002</v>
      </c>
      <c r="L29" s="3" t="s">
        <v>211</v>
      </c>
      <c r="M29" s="3"/>
      <c r="N29" s="3"/>
      <c r="O29" s="3" t="s">
        <v>212</v>
      </c>
      <c r="P29" s="3"/>
      <c r="Q29" s="3" t="s">
        <v>67</v>
      </c>
      <c r="R29" s="3"/>
      <c r="S29" s="3" t="str">
        <f>"May 28-Oct 29"</f>
        <v>May 28-Oct 29</v>
      </c>
    </row>
    <row r="30" spans="1:19" ht="26.25" x14ac:dyDescent="0.25">
      <c r="A30" s="1">
        <v>40664</v>
      </c>
      <c r="B30" s="1">
        <v>40817</v>
      </c>
      <c r="C30" s="2">
        <f t="shared" si="0"/>
        <v>154</v>
      </c>
      <c r="D30" s="6" t="s">
        <v>156</v>
      </c>
      <c r="E30" s="3" t="s">
        <v>157</v>
      </c>
      <c r="F30" s="4" t="s">
        <v>58</v>
      </c>
      <c r="G30" s="3" t="s">
        <v>158</v>
      </c>
      <c r="H30" s="3"/>
      <c r="I30" s="3" t="s">
        <v>159</v>
      </c>
      <c r="J30" s="3" t="s">
        <v>61</v>
      </c>
      <c r="K30" s="3">
        <v>67301</v>
      </c>
      <c r="L30" s="3" t="s">
        <v>160</v>
      </c>
      <c r="M30" s="3"/>
      <c r="N30" s="3"/>
      <c r="O30" s="3"/>
      <c r="P30" s="3"/>
      <c r="Q30" s="3" t="s">
        <v>67</v>
      </c>
      <c r="R30" s="3"/>
      <c r="S30" s="3" t="str">
        <f>"May 1-Oct 1"</f>
        <v>May 1-Oct 1</v>
      </c>
    </row>
    <row r="31" spans="1:19" s="34" customFormat="1" x14ac:dyDescent="0.25">
      <c r="A31" s="30">
        <v>41160</v>
      </c>
      <c r="B31" s="30">
        <v>41294</v>
      </c>
      <c r="C31" s="31">
        <f t="shared" si="0"/>
        <v>135</v>
      </c>
      <c r="D31" s="32" t="s">
        <v>3926</v>
      </c>
      <c r="E31" s="33" t="s">
        <v>3927</v>
      </c>
      <c r="F31" s="4" t="s">
        <v>58</v>
      </c>
      <c r="G31" s="33" t="s">
        <v>732</v>
      </c>
      <c r="H31" s="33" t="s">
        <v>2805</v>
      </c>
      <c r="I31" s="33" t="s">
        <v>60</v>
      </c>
      <c r="J31" s="33" t="s">
        <v>61</v>
      </c>
      <c r="K31" s="33">
        <v>66621</v>
      </c>
      <c r="L31" s="33" t="s">
        <v>733</v>
      </c>
      <c r="M31" s="33"/>
      <c r="N31" s="33"/>
      <c r="O31" s="33"/>
      <c r="P31" s="33" t="s">
        <v>734</v>
      </c>
      <c r="Q31" s="33" t="s">
        <v>67</v>
      </c>
      <c r="R31" s="33"/>
      <c r="S31" s="33" t="str">
        <f>"Sep 8-Jan 20"</f>
        <v>Sep 8-Jan 20</v>
      </c>
    </row>
    <row r="32" spans="1:19" ht="26.25" x14ac:dyDescent="0.25">
      <c r="A32" s="13">
        <v>40698</v>
      </c>
      <c r="B32" s="13">
        <v>40824</v>
      </c>
      <c r="C32" s="21">
        <f t="shared" si="0"/>
        <v>127</v>
      </c>
      <c r="D32" s="22" t="s">
        <v>189</v>
      </c>
      <c r="E32" s="9" t="s">
        <v>213</v>
      </c>
      <c r="F32" s="5" t="s">
        <v>58</v>
      </c>
      <c r="G32" s="9" t="s">
        <v>214</v>
      </c>
      <c r="H32" s="9" t="s">
        <v>215</v>
      </c>
      <c r="I32" s="9" t="s">
        <v>125</v>
      </c>
      <c r="J32" s="9" t="s">
        <v>61</v>
      </c>
      <c r="K32" s="9">
        <v>67801</v>
      </c>
      <c r="L32" s="9" t="s">
        <v>216</v>
      </c>
      <c r="M32" s="9"/>
      <c r="N32" s="9"/>
      <c r="O32" s="9"/>
      <c r="P32" s="9"/>
      <c r="Q32" s="9" t="s">
        <v>67</v>
      </c>
      <c r="R32" s="9"/>
      <c r="S32" s="9" t="str">
        <f>"Jun 4-Oct 8"</f>
        <v>Jun 4-Oct 8</v>
      </c>
    </row>
    <row r="33" spans="1:19" ht="39" x14ac:dyDescent="0.25">
      <c r="A33" s="1">
        <v>41055</v>
      </c>
      <c r="B33" s="1">
        <v>41181</v>
      </c>
      <c r="C33" s="2">
        <f t="shared" si="0"/>
        <v>127</v>
      </c>
      <c r="D33" s="6" t="s">
        <v>3330</v>
      </c>
      <c r="E33" s="3" t="s">
        <v>3331</v>
      </c>
      <c r="F33" s="4" t="s">
        <v>58</v>
      </c>
      <c r="G33" s="3" t="s">
        <v>1246</v>
      </c>
      <c r="H33" s="3"/>
      <c r="I33" s="3" t="s">
        <v>1247</v>
      </c>
      <c r="J33" s="3" t="s">
        <v>61</v>
      </c>
      <c r="K33" s="3">
        <v>66938</v>
      </c>
      <c r="L33" s="3" t="s">
        <v>1248</v>
      </c>
      <c r="M33" s="3"/>
      <c r="N33" s="3"/>
      <c r="O33" s="3" t="s">
        <v>3332</v>
      </c>
      <c r="P33" s="3"/>
      <c r="Q33" s="3"/>
      <c r="R33" s="3"/>
      <c r="S33" s="3" t="str">
        <f>"May 26-Sep 29"</f>
        <v>May 26-Sep 29</v>
      </c>
    </row>
    <row r="34" spans="1:19" ht="51.75" x14ac:dyDescent="0.25">
      <c r="A34" s="1">
        <v>40792</v>
      </c>
      <c r="B34" s="1">
        <v>40917</v>
      </c>
      <c r="C34" s="2">
        <f t="shared" si="0"/>
        <v>126</v>
      </c>
      <c r="D34" s="6" t="s">
        <v>288</v>
      </c>
      <c r="E34" s="3" t="s">
        <v>289</v>
      </c>
      <c r="F34" s="4" t="s">
        <v>58</v>
      </c>
      <c r="G34" s="3" t="s">
        <v>290</v>
      </c>
      <c r="H34" s="3" t="s">
        <v>291</v>
      </c>
      <c r="I34" s="3" t="s">
        <v>227</v>
      </c>
      <c r="J34" s="3" t="s">
        <v>61</v>
      </c>
      <c r="K34" s="3">
        <v>67410</v>
      </c>
      <c r="L34" s="3" t="s">
        <v>292</v>
      </c>
      <c r="M34" s="3"/>
      <c r="N34" s="3"/>
      <c r="O34" s="3" t="s">
        <v>293</v>
      </c>
      <c r="P34" s="3" t="s">
        <v>294</v>
      </c>
      <c r="Q34" s="3"/>
      <c r="R34" s="3"/>
      <c r="S34" s="3" t="str">
        <f>"Sep 6-Jan 9"</f>
        <v>Sep 6-Jan 9</v>
      </c>
    </row>
    <row r="35" spans="1:19" ht="39" x14ac:dyDescent="0.25">
      <c r="A35" s="1">
        <v>40817</v>
      </c>
      <c r="B35" s="1">
        <v>40930</v>
      </c>
      <c r="C35" s="2">
        <f t="shared" si="0"/>
        <v>114</v>
      </c>
      <c r="D35" s="6" t="s">
        <v>730</v>
      </c>
      <c r="E35" s="3" t="s">
        <v>731</v>
      </c>
      <c r="F35" s="4" t="s">
        <v>58</v>
      </c>
      <c r="G35" s="3" t="s">
        <v>732</v>
      </c>
      <c r="H35" s="3"/>
      <c r="I35" s="3" t="s">
        <v>60</v>
      </c>
      <c r="J35" s="3" t="s">
        <v>61</v>
      </c>
      <c r="K35" s="3">
        <v>66621</v>
      </c>
      <c r="L35" s="3" t="s">
        <v>733</v>
      </c>
      <c r="M35" s="3"/>
      <c r="N35" s="3"/>
      <c r="O35" s="3"/>
      <c r="P35" s="3" t="s">
        <v>734</v>
      </c>
      <c r="Q35" s="3" t="s">
        <v>67</v>
      </c>
      <c r="R35" s="3"/>
      <c r="S35" s="3" t="str">
        <f>"Oct 1-Jan 22"</f>
        <v>Oct 1-Jan 22</v>
      </c>
    </row>
    <row r="36" spans="1:19" ht="39" x14ac:dyDescent="0.25">
      <c r="A36" s="1">
        <v>40805</v>
      </c>
      <c r="B36" s="1">
        <v>40908</v>
      </c>
      <c r="C36" s="2">
        <f t="shared" si="0"/>
        <v>104</v>
      </c>
      <c r="D36" s="6" t="s">
        <v>328</v>
      </c>
      <c r="E36" s="3" t="s">
        <v>329</v>
      </c>
      <c r="F36" s="4" t="s">
        <v>58</v>
      </c>
      <c r="G36" s="3" t="s">
        <v>330</v>
      </c>
      <c r="H36" s="3" t="s">
        <v>331</v>
      </c>
      <c r="I36" s="3" t="s">
        <v>227</v>
      </c>
      <c r="J36" s="3" t="s">
        <v>61</v>
      </c>
      <c r="K36" s="3">
        <v>67410</v>
      </c>
      <c r="L36" s="3" t="s">
        <v>332</v>
      </c>
      <c r="M36" s="3"/>
      <c r="N36" s="3"/>
      <c r="O36" s="3" t="s">
        <v>333</v>
      </c>
      <c r="P36" s="3" t="s">
        <v>334</v>
      </c>
      <c r="Q36" s="3"/>
      <c r="R36" s="3"/>
      <c r="S36" s="3" t="str">
        <f>"Sep 19-Dec 31"</f>
        <v>Sep 19-Dec 31</v>
      </c>
    </row>
    <row r="37" spans="1:19" x14ac:dyDescent="0.25">
      <c r="A37" s="1">
        <v>40806</v>
      </c>
      <c r="B37" s="1">
        <v>40909</v>
      </c>
      <c r="C37" s="2">
        <f t="shared" si="0"/>
        <v>104</v>
      </c>
      <c r="D37" s="6" t="s">
        <v>335</v>
      </c>
      <c r="E37" s="3" t="s">
        <v>335</v>
      </c>
      <c r="F37" s="4" t="s">
        <v>58</v>
      </c>
      <c r="G37" s="3" t="s">
        <v>336</v>
      </c>
      <c r="H37" s="3"/>
      <c r="I37" s="3" t="s">
        <v>60</v>
      </c>
      <c r="J37" s="3" t="s">
        <v>61</v>
      </c>
      <c r="K37" s="3">
        <v>66604</v>
      </c>
      <c r="L37" s="3" t="s">
        <v>337</v>
      </c>
      <c r="M37" s="3"/>
      <c r="N37" s="3"/>
      <c r="O37" s="3"/>
      <c r="P37" s="3" t="s">
        <v>338</v>
      </c>
      <c r="Q37" s="3" t="s">
        <v>67</v>
      </c>
      <c r="R37" s="3" t="s">
        <v>67</v>
      </c>
      <c r="S37" s="3" t="str">
        <f>"Sep 20-Jan 1"</f>
        <v>Sep 20-Jan 1</v>
      </c>
    </row>
    <row r="38" spans="1:19" ht="39" x14ac:dyDescent="0.25">
      <c r="A38" s="1">
        <v>41055</v>
      </c>
      <c r="B38" s="1">
        <v>41155</v>
      </c>
      <c r="C38" s="2">
        <f t="shared" si="0"/>
        <v>101</v>
      </c>
      <c r="D38" s="6" t="s">
        <v>3325</v>
      </c>
      <c r="E38" s="3" t="s">
        <v>3326</v>
      </c>
      <c r="F38" s="4" t="s">
        <v>58</v>
      </c>
      <c r="G38" s="3" t="s">
        <v>3327</v>
      </c>
      <c r="H38" s="3"/>
      <c r="I38" s="3" t="s">
        <v>125</v>
      </c>
      <c r="J38" s="3" t="s">
        <v>61</v>
      </c>
      <c r="K38" s="3">
        <v>67801</v>
      </c>
      <c r="L38" s="3" t="s">
        <v>3328</v>
      </c>
      <c r="M38" s="3" t="s">
        <v>2221</v>
      </c>
      <c r="N38" s="3" t="s">
        <v>3329</v>
      </c>
      <c r="O38" s="3" t="s">
        <v>2222</v>
      </c>
      <c r="P38" s="3" t="s">
        <v>2223</v>
      </c>
      <c r="Q38" s="3" t="s">
        <v>67</v>
      </c>
      <c r="R38" s="3" t="s">
        <v>67</v>
      </c>
      <c r="S38" s="3" t="str">
        <f>"May 26-Sep 3"</f>
        <v>May 26-Sep 3</v>
      </c>
    </row>
    <row r="39" spans="1:19" ht="26.25" x14ac:dyDescent="0.25">
      <c r="A39" s="1">
        <v>41065</v>
      </c>
      <c r="B39" s="1">
        <v>41159</v>
      </c>
      <c r="C39" s="2">
        <f t="shared" si="0"/>
        <v>95</v>
      </c>
      <c r="D39" s="6" t="s">
        <v>3379</v>
      </c>
      <c r="E39" s="3" t="s">
        <v>3380</v>
      </c>
      <c r="F39" s="4" t="s">
        <v>58</v>
      </c>
      <c r="G39" s="3" t="s">
        <v>2965</v>
      </c>
      <c r="H39" s="3" t="s">
        <v>2285</v>
      </c>
      <c r="I39" s="3" t="s">
        <v>865</v>
      </c>
      <c r="J39" s="3" t="s">
        <v>61</v>
      </c>
      <c r="K39" s="3">
        <v>67601</v>
      </c>
      <c r="L39" s="3" t="s">
        <v>1669</v>
      </c>
      <c r="M39" s="3"/>
      <c r="N39" s="3" t="s">
        <v>1670</v>
      </c>
      <c r="O39" s="3" t="s">
        <v>1671</v>
      </c>
      <c r="P39" s="3" t="s">
        <v>1672</v>
      </c>
      <c r="Q39" s="3"/>
      <c r="R39" s="3" t="s">
        <v>67</v>
      </c>
      <c r="S39" s="3" t="str">
        <f>"Jun 5-Sep 7"</f>
        <v>Jun 5-Sep 7</v>
      </c>
    </row>
    <row r="40" spans="1:19" x14ac:dyDescent="0.25">
      <c r="A40" s="1">
        <v>41076</v>
      </c>
      <c r="B40" s="1">
        <v>41168</v>
      </c>
      <c r="C40" s="2">
        <f t="shared" si="0"/>
        <v>93</v>
      </c>
      <c r="D40" s="6" t="s">
        <v>3474</v>
      </c>
      <c r="E40" s="3" t="s">
        <v>3474</v>
      </c>
      <c r="F40" s="4" t="s">
        <v>58</v>
      </c>
      <c r="G40" s="3" t="s">
        <v>732</v>
      </c>
      <c r="H40" s="3" t="s">
        <v>2805</v>
      </c>
      <c r="I40" s="3" t="s">
        <v>60</v>
      </c>
      <c r="J40" s="3" t="s">
        <v>61</v>
      </c>
      <c r="K40" s="3">
        <v>66621</v>
      </c>
      <c r="L40" s="3" t="s">
        <v>733</v>
      </c>
      <c r="M40" s="3"/>
      <c r="N40" s="3"/>
      <c r="O40" s="3"/>
      <c r="P40" s="3" t="s">
        <v>734</v>
      </c>
      <c r="Q40" s="3" t="s">
        <v>67</v>
      </c>
      <c r="R40" s="3"/>
      <c r="S40" s="3" t="str">
        <f>"Jun 16-Sep 16"</f>
        <v>Jun 16-Sep 16</v>
      </c>
    </row>
    <row r="41" spans="1:19" ht="39" x14ac:dyDescent="0.25">
      <c r="A41" s="1">
        <v>40727</v>
      </c>
      <c r="B41" s="1">
        <v>40818</v>
      </c>
      <c r="C41" s="2">
        <f t="shared" si="0"/>
        <v>92</v>
      </c>
      <c r="D41" s="6" t="s">
        <v>232</v>
      </c>
      <c r="E41" s="3" t="s">
        <v>233</v>
      </c>
      <c r="F41" s="4" t="s">
        <v>58</v>
      </c>
      <c r="G41" s="3" t="s">
        <v>234</v>
      </c>
      <c r="H41" s="3" t="s">
        <v>235</v>
      </c>
      <c r="I41" s="3" t="s">
        <v>236</v>
      </c>
      <c r="J41" s="3" t="s">
        <v>61</v>
      </c>
      <c r="K41" s="3">
        <v>67005</v>
      </c>
      <c r="L41" s="3" t="s">
        <v>237</v>
      </c>
      <c r="M41" s="3"/>
      <c r="N41" s="3" t="s">
        <v>238</v>
      </c>
      <c r="O41" s="3" t="s">
        <v>239</v>
      </c>
      <c r="P41" s="3" t="s">
        <v>240</v>
      </c>
      <c r="Q41" s="3" t="s">
        <v>67</v>
      </c>
      <c r="R41" s="3"/>
      <c r="S41" s="3" t="str">
        <f>"Jul 3-Oct 2"</f>
        <v>Jul 3-Oct 2</v>
      </c>
    </row>
    <row r="42" spans="1:19" ht="39" x14ac:dyDescent="0.25">
      <c r="A42" s="1">
        <v>40801</v>
      </c>
      <c r="B42" s="1">
        <v>40877</v>
      </c>
      <c r="C42" s="2">
        <f t="shared" si="0"/>
        <v>77</v>
      </c>
      <c r="D42" s="6" t="s">
        <v>318</v>
      </c>
      <c r="E42" s="3" t="s">
        <v>319</v>
      </c>
      <c r="F42" s="4" t="s">
        <v>58</v>
      </c>
      <c r="G42" s="3" t="s">
        <v>320</v>
      </c>
      <c r="H42" s="3" t="s">
        <v>321</v>
      </c>
      <c r="I42" s="3" t="s">
        <v>227</v>
      </c>
      <c r="J42" s="3" t="s">
        <v>61</v>
      </c>
      <c r="K42" s="3">
        <v>67410</v>
      </c>
      <c r="L42" s="3" t="s">
        <v>228</v>
      </c>
      <c r="M42" s="3" t="s">
        <v>229</v>
      </c>
      <c r="N42" s="3"/>
      <c r="O42" s="3" t="s">
        <v>230</v>
      </c>
      <c r="P42" s="3" t="s">
        <v>231</v>
      </c>
      <c r="Q42" s="3" t="s">
        <v>67</v>
      </c>
      <c r="R42" s="3"/>
      <c r="S42" s="3" t="str">
        <f>"Sep 15-Nov 30"</f>
        <v>Sep 15-Nov 30</v>
      </c>
    </row>
    <row r="43" spans="1:19" x14ac:dyDescent="0.25">
      <c r="A43" s="1">
        <v>40943</v>
      </c>
      <c r="B43" s="1">
        <v>41014</v>
      </c>
      <c r="C43" s="2">
        <f t="shared" si="0"/>
        <v>72</v>
      </c>
      <c r="D43" s="6" t="s">
        <v>2804</v>
      </c>
      <c r="E43" s="3" t="s">
        <v>2804</v>
      </c>
      <c r="F43" s="4" t="s">
        <v>58</v>
      </c>
      <c r="G43" s="3" t="s">
        <v>732</v>
      </c>
      <c r="H43" s="3" t="s">
        <v>2805</v>
      </c>
      <c r="I43" s="3" t="s">
        <v>60</v>
      </c>
      <c r="J43" s="3" t="s">
        <v>61</v>
      </c>
      <c r="K43" s="3">
        <v>66621</v>
      </c>
      <c r="L43" s="3" t="s">
        <v>733</v>
      </c>
      <c r="M43" s="3"/>
      <c r="N43" s="3"/>
      <c r="O43" s="3"/>
      <c r="P43" s="3" t="s">
        <v>734</v>
      </c>
      <c r="Q43" s="3" t="s">
        <v>67</v>
      </c>
      <c r="R43" s="3"/>
      <c r="S43" s="3" t="str">
        <f>"Feb 4-Apr 15"</f>
        <v>Feb 4-Apr 15</v>
      </c>
    </row>
    <row r="44" spans="1:19" ht="39" x14ac:dyDescent="0.25">
      <c r="A44" s="1">
        <v>40786</v>
      </c>
      <c r="B44" s="1">
        <v>40853</v>
      </c>
      <c r="C44" s="2">
        <f t="shared" si="0"/>
        <v>68</v>
      </c>
      <c r="D44" s="6" t="s">
        <v>263</v>
      </c>
      <c r="E44" s="3" t="s">
        <v>264</v>
      </c>
      <c r="F44" s="4" t="s">
        <v>58</v>
      </c>
      <c r="G44" s="3" t="s">
        <v>265</v>
      </c>
      <c r="H44" s="3"/>
      <c r="I44" s="3" t="s">
        <v>165</v>
      </c>
      <c r="J44" s="3" t="s">
        <v>61</v>
      </c>
      <c r="K44" s="3">
        <v>66212</v>
      </c>
      <c r="L44" s="3" t="s">
        <v>266</v>
      </c>
      <c r="M44" s="3" t="s">
        <v>267</v>
      </c>
      <c r="N44" s="3"/>
      <c r="O44" s="3"/>
      <c r="P44" s="3" t="s">
        <v>268</v>
      </c>
      <c r="Q44" s="3" t="s">
        <v>67</v>
      </c>
      <c r="R44" s="3" t="s">
        <v>67</v>
      </c>
      <c r="S44" s="3" t="str">
        <f>"Aug 31-Nov 6"</f>
        <v>Aug 31-Nov 6</v>
      </c>
    </row>
    <row r="45" spans="1:19" ht="39" x14ac:dyDescent="0.25">
      <c r="A45" s="1">
        <v>40771</v>
      </c>
      <c r="B45" s="1">
        <v>40831</v>
      </c>
      <c r="C45" s="2">
        <f t="shared" si="0"/>
        <v>61</v>
      </c>
      <c r="D45" s="6" t="s">
        <v>258</v>
      </c>
      <c r="E45" s="3" t="s">
        <v>259</v>
      </c>
      <c r="F45" s="4" t="s">
        <v>58</v>
      </c>
      <c r="G45" s="3" t="s">
        <v>260</v>
      </c>
      <c r="H45" s="3"/>
      <c r="I45" s="3" t="s">
        <v>261</v>
      </c>
      <c r="J45" s="3" t="s">
        <v>61</v>
      </c>
      <c r="K45" s="3">
        <v>67042</v>
      </c>
      <c r="L45" s="3" t="s">
        <v>262</v>
      </c>
      <c r="M45" s="3"/>
      <c r="N45" s="3"/>
      <c r="O45" s="3"/>
      <c r="P45" s="3"/>
      <c r="Q45" s="3" t="s">
        <v>67</v>
      </c>
      <c r="R45" s="3"/>
      <c r="S45" s="3" t="str">
        <f>"Aug 16-Oct 15"</f>
        <v>Aug 16-Oct 15</v>
      </c>
    </row>
    <row r="46" spans="1:19" ht="26.25" x14ac:dyDescent="0.25">
      <c r="A46" s="1">
        <v>40850</v>
      </c>
      <c r="B46" s="1">
        <v>40908</v>
      </c>
      <c r="C46" s="2">
        <f t="shared" si="0"/>
        <v>59</v>
      </c>
      <c r="D46" s="6" t="s">
        <v>1700</v>
      </c>
      <c r="E46" s="3" t="s">
        <v>1701</v>
      </c>
      <c r="F46" s="4" t="s">
        <v>58</v>
      </c>
      <c r="G46" s="3" t="s">
        <v>1702</v>
      </c>
      <c r="H46" s="3"/>
      <c r="I46" s="3" t="s">
        <v>60</v>
      </c>
      <c r="J46" s="3" t="s">
        <v>61</v>
      </c>
      <c r="K46" s="3">
        <v>66604</v>
      </c>
      <c r="L46" s="3" t="s">
        <v>1703</v>
      </c>
      <c r="M46" s="3"/>
      <c r="N46" s="3"/>
      <c r="O46" s="3"/>
      <c r="P46" s="3"/>
      <c r="Q46" s="3" t="s">
        <v>67</v>
      </c>
      <c r="R46" s="3"/>
      <c r="S46" s="3" t="str">
        <f>"Nov 3-Dec 31"</f>
        <v>Nov 3-Dec 31</v>
      </c>
    </row>
    <row r="47" spans="1:19" ht="26.25" x14ac:dyDescent="0.25">
      <c r="A47" s="1">
        <v>40789</v>
      </c>
      <c r="B47" s="1">
        <v>40846</v>
      </c>
      <c r="C47" s="2">
        <f t="shared" si="0"/>
        <v>58</v>
      </c>
      <c r="D47" s="6" t="s">
        <v>282</v>
      </c>
      <c r="E47" s="3" t="s">
        <v>283</v>
      </c>
      <c r="F47" s="4" t="s">
        <v>58</v>
      </c>
      <c r="G47" s="3" t="s">
        <v>284</v>
      </c>
      <c r="H47" s="3"/>
      <c r="I47" s="3" t="s">
        <v>245</v>
      </c>
      <c r="J47" s="3" t="s">
        <v>61</v>
      </c>
      <c r="K47" s="3">
        <v>67401</v>
      </c>
      <c r="L47" s="3" t="s">
        <v>285</v>
      </c>
      <c r="M47" s="3"/>
      <c r="N47" s="3"/>
      <c r="O47" s="3" t="s">
        <v>286</v>
      </c>
      <c r="P47" s="3" t="s">
        <v>287</v>
      </c>
      <c r="Q47" s="3" t="s">
        <v>67</v>
      </c>
      <c r="R47" s="3" t="s">
        <v>67</v>
      </c>
      <c r="S47" s="3" t="str">
        <f>"Sep 3-Oct 30"</f>
        <v>Sep 3-Oct 30</v>
      </c>
    </row>
    <row r="48" spans="1:19" ht="26.25" x14ac:dyDescent="0.25">
      <c r="A48" s="1">
        <v>41006</v>
      </c>
      <c r="B48" s="1">
        <v>41063</v>
      </c>
      <c r="C48" s="2">
        <f t="shared" si="0"/>
        <v>58</v>
      </c>
      <c r="D48" s="6" t="s">
        <v>3044</v>
      </c>
      <c r="E48" s="3" t="s">
        <v>3044</v>
      </c>
      <c r="F48" s="4" t="s">
        <v>58</v>
      </c>
      <c r="G48" s="3" t="s">
        <v>1269</v>
      </c>
      <c r="H48" s="3" t="s">
        <v>2805</v>
      </c>
      <c r="I48" s="3" t="s">
        <v>60</v>
      </c>
      <c r="J48" s="3" t="s">
        <v>61</v>
      </c>
      <c r="K48" s="3">
        <v>66621</v>
      </c>
      <c r="L48" s="3" t="s">
        <v>733</v>
      </c>
      <c r="M48" s="3"/>
      <c r="N48" s="3"/>
      <c r="O48" s="3"/>
      <c r="P48" s="3" t="s">
        <v>734</v>
      </c>
      <c r="Q48" s="3" t="s">
        <v>67</v>
      </c>
      <c r="R48" s="3"/>
      <c r="S48" s="3" t="str">
        <f>"Apr 7-Jun 3"</f>
        <v>Apr 7-Jun 3</v>
      </c>
    </row>
    <row r="49" spans="1:19" ht="26.25" x14ac:dyDescent="0.25">
      <c r="A49" s="1">
        <v>40789</v>
      </c>
      <c r="B49" s="1">
        <v>40845</v>
      </c>
      <c r="C49" s="2">
        <f t="shared" si="0"/>
        <v>57</v>
      </c>
      <c r="D49" s="6" t="s">
        <v>269</v>
      </c>
      <c r="E49" s="3" t="s">
        <v>270</v>
      </c>
      <c r="F49" s="5" t="s">
        <v>58</v>
      </c>
      <c r="G49" s="3" t="s">
        <v>271</v>
      </c>
      <c r="H49" s="3"/>
      <c r="I49" s="3" t="s">
        <v>210</v>
      </c>
      <c r="J49" s="3" t="s">
        <v>61</v>
      </c>
      <c r="K49" s="3">
        <v>66002</v>
      </c>
      <c r="L49" s="3" t="s">
        <v>272</v>
      </c>
      <c r="M49" s="3" t="s">
        <v>273</v>
      </c>
      <c r="N49" s="3" t="s">
        <v>274</v>
      </c>
      <c r="O49" s="3" t="s">
        <v>275</v>
      </c>
      <c r="P49" s="3" t="s">
        <v>276</v>
      </c>
      <c r="Q49" s="3" t="s">
        <v>67</v>
      </c>
      <c r="R49" s="3" t="s">
        <v>67</v>
      </c>
      <c r="S49" s="3" t="str">
        <f>"Sep 3-Oct 29"</f>
        <v>Sep 3-Oct 29</v>
      </c>
    </row>
    <row r="50" spans="1:19" ht="39" x14ac:dyDescent="0.25">
      <c r="A50" s="1">
        <v>40789</v>
      </c>
      <c r="B50" s="1">
        <v>40845</v>
      </c>
      <c r="C50" s="2">
        <f t="shared" si="0"/>
        <v>57</v>
      </c>
      <c r="D50" s="6" t="s">
        <v>277</v>
      </c>
      <c r="E50" s="3" t="s">
        <v>278</v>
      </c>
      <c r="F50" s="5" t="s">
        <v>58</v>
      </c>
      <c r="G50" s="3" t="s">
        <v>279</v>
      </c>
      <c r="H50" s="3"/>
      <c r="I50" s="3" t="s">
        <v>210</v>
      </c>
      <c r="J50" s="3" t="s">
        <v>61</v>
      </c>
      <c r="K50" s="3">
        <v>66002</v>
      </c>
      <c r="L50" s="3" t="s">
        <v>272</v>
      </c>
      <c r="M50" s="3" t="s">
        <v>273</v>
      </c>
      <c r="N50" s="3" t="s">
        <v>274</v>
      </c>
      <c r="O50" s="3" t="s">
        <v>275</v>
      </c>
      <c r="P50" s="3" t="s">
        <v>276</v>
      </c>
      <c r="Q50" s="3" t="s">
        <v>67</v>
      </c>
      <c r="R50" s="3" t="s">
        <v>67</v>
      </c>
      <c r="S50" s="3" t="str">
        <f>"Sep 3-Oct 29"</f>
        <v>Sep 3-Oct 29</v>
      </c>
    </row>
    <row r="51" spans="1:19" ht="39" x14ac:dyDescent="0.25">
      <c r="A51" s="1">
        <v>40789</v>
      </c>
      <c r="B51" s="1">
        <v>40845</v>
      </c>
      <c r="C51" s="2">
        <f t="shared" si="0"/>
        <v>57</v>
      </c>
      <c r="D51" s="6" t="s">
        <v>280</v>
      </c>
      <c r="E51" s="3" t="s">
        <v>281</v>
      </c>
      <c r="F51" s="4" t="s">
        <v>58</v>
      </c>
      <c r="G51" s="3" t="s">
        <v>271</v>
      </c>
      <c r="H51" s="3"/>
      <c r="I51" s="3" t="s">
        <v>210</v>
      </c>
      <c r="J51" s="3" t="s">
        <v>61</v>
      </c>
      <c r="K51" s="3">
        <v>66002</v>
      </c>
      <c r="L51" s="3" t="s">
        <v>272</v>
      </c>
      <c r="M51" s="3" t="s">
        <v>273</v>
      </c>
      <c r="N51" s="3" t="s">
        <v>274</v>
      </c>
      <c r="O51" s="3" t="s">
        <v>275</v>
      </c>
      <c r="P51" s="3" t="s">
        <v>276</v>
      </c>
      <c r="Q51" s="3" t="s">
        <v>67</v>
      </c>
      <c r="R51" s="3" t="s">
        <v>67</v>
      </c>
      <c r="S51" s="3" t="str">
        <f>"Sep 3-Oct 29"</f>
        <v>Sep 3-Oct 29</v>
      </c>
    </row>
    <row r="52" spans="1:19" ht="39" x14ac:dyDescent="0.25">
      <c r="A52" s="1">
        <v>40825</v>
      </c>
      <c r="B52" s="1">
        <v>40881</v>
      </c>
      <c r="C52" s="2">
        <f t="shared" si="0"/>
        <v>57</v>
      </c>
      <c r="D52" s="6" t="s">
        <v>1135</v>
      </c>
      <c r="E52" s="3" t="s">
        <v>1136</v>
      </c>
      <c r="F52" s="5" t="s">
        <v>58</v>
      </c>
      <c r="G52" s="3" t="s">
        <v>251</v>
      </c>
      <c r="H52" s="3" t="s">
        <v>252</v>
      </c>
      <c r="I52" s="3" t="s">
        <v>253</v>
      </c>
      <c r="J52" s="3" t="s">
        <v>61</v>
      </c>
      <c r="K52" s="3">
        <v>67867</v>
      </c>
      <c r="L52" s="3" t="s">
        <v>254</v>
      </c>
      <c r="M52" s="3"/>
      <c r="N52" s="3" t="s">
        <v>255</v>
      </c>
      <c r="O52" s="3" t="s">
        <v>256</v>
      </c>
      <c r="P52" s="3" t="s">
        <v>257</v>
      </c>
      <c r="Q52" s="3" t="s">
        <v>67</v>
      </c>
      <c r="R52" s="3"/>
      <c r="S52" s="3" t="str">
        <f>"Oct 9-Dec 4"</f>
        <v>Oct 9-Dec 4</v>
      </c>
    </row>
    <row r="53" spans="1:19" ht="39" x14ac:dyDescent="0.25">
      <c r="A53" s="1">
        <v>40823</v>
      </c>
      <c r="B53" s="1">
        <v>40877</v>
      </c>
      <c r="C53" s="2">
        <f t="shared" si="0"/>
        <v>55</v>
      </c>
      <c r="D53" s="6" t="s">
        <v>936</v>
      </c>
      <c r="E53" s="3" t="s">
        <v>937</v>
      </c>
      <c r="F53" s="4" t="s">
        <v>58</v>
      </c>
      <c r="G53" s="3" t="s">
        <v>938</v>
      </c>
      <c r="H53" s="3"/>
      <c r="I53" s="3" t="s">
        <v>60</v>
      </c>
      <c r="J53" s="3" t="s">
        <v>61</v>
      </c>
      <c r="K53" s="3">
        <v>66612</v>
      </c>
      <c r="L53" s="3" t="s">
        <v>939</v>
      </c>
      <c r="M53" s="3"/>
      <c r="N53" s="3"/>
      <c r="O53" s="3"/>
      <c r="P53" s="3" t="s">
        <v>940</v>
      </c>
      <c r="Q53" s="3" t="s">
        <v>67</v>
      </c>
      <c r="R53" s="3"/>
      <c r="S53" s="3" t="str">
        <f>"Oct 7-Nov 30"</f>
        <v>Oct 7-Nov 30</v>
      </c>
    </row>
    <row r="54" spans="1:19" ht="39" x14ac:dyDescent="0.25">
      <c r="A54" s="1">
        <v>40848</v>
      </c>
      <c r="B54" s="1">
        <v>40900</v>
      </c>
      <c r="C54" s="2">
        <f t="shared" si="0"/>
        <v>53</v>
      </c>
      <c r="D54" s="6" t="s">
        <v>1683</v>
      </c>
      <c r="E54" s="3" t="s">
        <v>1684</v>
      </c>
      <c r="F54" s="5" t="s">
        <v>58</v>
      </c>
      <c r="G54" s="3" t="s">
        <v>1685</v>
      </c>
      <c r="H54" s="3"/>
      <c r="I54" s="3" t="s">
        <v>105</v>
      </c>
      <c r="J54" s="3" t="s">
        <v>61</v>
      </c>
      <c r="K54" s="3">
        <v>66049</v>
      </c>
      <c r="L54" s="3" t="s">
        <v>1686</v>
      </c>
      <c r="M54" s="3"/>
      <c r="N54" s="3" t="s">
        <v>1687</v>
      </c>
      <c r="O54" s="3" t="s">
        <v>1688</v>
      </c>
      <c r="P54" s="3" t="s">
        <v>1689</v>
      </c>
      <c r="Q54" s="3"/>
      <c r="R54" s="3"/>
      <c r="S54" s="3" t="str">
        <f>"Nov 1-Dec 23"</f>
        <v>Nov 1-Dec 23</v>
      </c>
    </row>
    <row r="55" spans="1:19" ht="39" x14ac:dyDescent="0.25">
      <c r="A55" s="1">
        <v>40767</v>
      </c>
      <c r="B55" s="1">
        <v>40818</v>
      </c>
      <c r="C55" s="2">
        <f t="shared" si="0"/>
        <v>52</v>
      </c>
      <c r="D55" s="6" t="s">
        <v>249</v>
      </c>
      <c r="E55" s="3" t="s">
        <v>250</v>
      </c>
      <c r="F55" s="4" t="s">
        <v>58</v>
      </c>
      <c r="G55" s="3" t="s">
        <v>251</v>
      </c>
      <c r="H55" s="3" t="s">
        <v>252</v>
      </c>
      <c r="I55" s="3" t="s">
        <v>253</v>
      </c>
      <c r="J55" s="3" t="s">
        <v>61</v>
      </c>
      <c r="K55" s="3">
        <v>67867</v>
      </c>
      <c r="L55" s="3" t="s">
        <v>254</v>
      </c>
      <c r="M55" s="3"/>
      <c r="N55" s="3" t="s">
        <v>255</v>
      </c>
      <c r="O55" s="3" t="s">
        <v>256</v>
      </c>
      <c r="P55" s="3" t="s">
        <v>257</v>
      </c>
      <c r="Q55" s="3" t="s">
        <v>67</v>
      </c>
      <c r="R55" s="3"/>
      <c r="S55" s="3" t="str">
        <f>"Aug 12-Oct 2"</f>
        <v>Aug 12-Oct 2</v>
      </c>
    </row>
    <row r="56" spans="1:19" ht="39" x14ac:dyDescent="0.25">
      <c r="A56" s="1">
        <v>40852</v>
      </c>
      <c r="B56" s="1">
        <v>40903</v>
      </c>
      <c r="C56" s="2">
        <f t="shared" si="0"/>
        <v>52</v>
      </c>
      <c r="D56" s="6" t="s">
        <v>1822</v>
      </c>
      <c r="E56" s="3" t="s">
        <v>1823</v>
      </c>
      <c r="F56" s="5" t="s">
        <v>58</v>
      </c>
      <c r="G56" s="3" t="s">
        <v>302</v>
      </c>
      <c r="H56" s="3" t="s">
        <v>1824</v>
      </c>
      <c r="I56" s="3" t="s">
        <v>303</v>
      </c>
      <c r="J56" s="3" t="s">
        <v>61</v>
      </c>
      <c r="K56" s="3">
        <v>66502</v>
      </c>
      <c r="L56" s="3" t="s">
        <v>304</v>
      </c>
      <c r="M56" s="3"/>
      <c r="N56" s="3"/>
      <c r="O56" s="3" t="s">
        <v>1825</v>
      </c>
      <c r="P56" s="3" t="s">
        <v>341</v>
      </c>
      <c r="Q56" s="3" t="s">
        <v>67</v>
      </c>
      <c r="R56" s="3"/>
      <c r="S56" s="3" t="str">
        <f>"Nov 5-Dec 26"</f>
        <v>Nov 5-Dec 26</v>
      </c>
    </row>
    <row r="57" spans="1:19" ht="39" x14ac:dyDescent="0.25">
      <c r="A57" s="1">
        <v>40888</v>
      </c>
      <c r="B57" s="1">
        <v>40937</v>
      </c>
      <c r="C57" s="2">
        <f t="shared" si="0"/>
        <v>50</v>
      </c>
      <c r="D57" s="6" t="s">
        <v>2627</v>
      </c>
      <c r="E57" s="3" t="s">
        <v>2628</v>
      </c>
      <c r="F57" s="5" t="s">
        <v>58</v>
      </c>
      <c r="G57" s="3" t="s">
        <v>251</v>
      </c>
      <c r="H57" s="3" t="s">
        <v>252</v>
      </c>
      <c r="I57" s="3" t="s">
        <v>253</v>
      </c>
      <c r="J57" s="3" t="s">
        <v>61</v>
      </c>
      <c r="K57" s="3">
        <v>67867</v>
      </c>
      <c r="L57" s="3" t="s">
        <v>254</v>
      </c>
      <c r="M57" s="3"/>
      <c r="N57" s="3" t="s">
        <v>255</v>
      </c>
      <c r="O57" s="3" t="s">
        <v>256</v>
      </c>
      <c r="P57" s="3" t="s">
        <v>257</v>
      </c>
      <c r="Q57" s="3" t="s">
        <v>67</v>
      </c>
      <c r="R57" s="3"/>
      <c r="S57" s="3" t="str">
        <f>"Dec 11-Jan 29"</f>
        <v>Dec 11-Jan 29</v>
      </c>
    </row>
    <row r="58" spans="1:19" ht="39" x14ac:dyDescent="0.25">
      <c r="A58" s="1">
        <v>40980</v>
      </c>
      <c r="B58" s="1">
        <v>41027</v>
      </c>
      <c r="C58" s="2">
        <f t="shared" si="0"/>
        <v>48</v>
      </c>
      <c r="D58" s="6" t="s">
        <v>2963</v>
      </c>
      <c r="E58" s="3" t="s">
        <v>2964</v>
      </c>
      <c r="F58" s="5" t="s">
        <v>58</v>
      </c>
      <c r="G58" s="3" t="s">
        <v>2965</v>
      </c>
      <c r="H58" s="3" t="s">
        <v>2285</v>
      </c>
      <c r="I58" s="3" t="s">
        <v>865</v>
      </c>
      <c r="J58" s="3" t="s">
        <v>61</v>
      </c>
      <c r="K58" s="3">
        <v>67601</v>
      </c>
      <c r="L58" s="3" t="s">
        <v>1669</v>
      </c>
      <c r="M58" s="3"/>
      <c r="N58" s="3" t="s">
        <v>1670</v>
      </c>
      <c r="O58" s="3" t="s">
        <v>1671</v>
      </c>
      <c r="P58" s="3" t="s">
        <v>1672</v>
      </c>
      <c r="Q58" s="3"/>
      <c r="R58" s="3" t="s">
        <v>67</v>
      </c>
      <c r="S58" s="3" t="str">
        <f>"Mar 12-Apr 28"</f>
        <v>Mar 12-Apr 28</v>
      </c>
    </row>
    <row r="59" spans="1:19" ht="39" x14ac:dyDescent="0.25">
      <c r="A59" s="1">
        <v>40803</v>
      </c>
      <c r="B59" s="1">
        <v>40847</v>
      </c>
      <c r="C59" s="2">
        <f t="shared" si="0"/>
        <v>45</v>
      </c>
      <c r="D59" s="6" t="s">
        <v>322</v>
      </c>
      <c r="E59" s="3" t="s">
        <v>323</v>
      </c>
      <c r="F59" s="5" t="s">
        <v>58</v>
      </c>
      <c r="G59" s="3" t="s">
        <v>324</v>
      </c>
      <c r="H59" s="3"/>
      <c r="I59" s="3" t="s">
        <v>325</v>
      </c>
      <c r="J59" s="3" t="s">
        <v>61</v>
      </c>
      <c r="K59" s="3">
        <v>66840</v>
      </c>
      <c r="L59" s="3" t="s">
        <v>326</v>
      </c>
      <c r="M59" s="3"/>
      <c r="N59" s="3"/>
      <c r="O59" s="3"/>
      <c r="P59" s="3" t="s">
        <v>327</v>
      </c>
      <c r="Q59" s="3" t="s">
        <v>67</v>
      </c>
      <c r="R59" s="3" t="s">
        <v>67</v>
      </c>
      <c r="S59" s="3" t="str">
        <f>"Sep 17-Oct 31"</f>
        <v>Sep 17-Oct 31</v>
      </c>
    </row>
    <row r="60" spans="1:19" s="34" customFormat="1" ht="26.25" x14ac:dyDescent="0.25">
      <c r="A60" s="30">
        <v>40872</v>
      </c>
      <c r="B60" s="30">
        <v>40916</v>
      </c>
      <c r="C60" s="31">
        <f t="shared" si="0"/>
        <v>45</v>
      </c>
      <c r="D60" s="32" t="s">
        <v>2116</v>
      </c>
      <c r="E60" s="33" t="s">
        <v>2117</v>
      </c>
      <c r="F60" s="5" t="s">
        <v>58</v>
      </c>
      <c r="G60" s="33" t="s">
        <v>2118</v>
      </c>
      <c r="H60" s="33" t="s">
        <v>2119</v>
      </c>
      <c r="I60" s="33" t="s">
        <v>227</v>
      </c>
      <c r="J60" s="33" t="s">
        <v>61</v>
      </c>
      <c r="K60" s="33">
        <v>67410</v>
      </c>
      <c r="L60" s="33" t="s">
        <v>2120</v>
      </c>
      <c r="M60" s="33"/>
      <c r="N60" s="33"/>
      <c r="O60" s="33" t="s">
        <v>2121</v>
      </c>
      <c r="P60" s="33" t="s">
        <v>2122</v>
      </c>
      <c r="Q60" s="33" t="s">
        <v>67</v>
      </c>
      <c r="R60" s="33" t="s">
        <v>67</v>
      </c>
      <c r="S60" s="33" t="str">
        <f>"Nov 25-Jan 8"</f>
        <v>Nov 25-Jan 8</v>
      </c>
    </row>
    <row r="61" spans="1:19" ht="26.25" x14ac:dyDescent="0.25">
      <c r="A61" s="13">
        <v>40809</v>
      </c>
      <c r="B61" s="13">
        <v>40852</v>
      </c>
      <c r="C61" s="21">
        <f t="shared" si="0"/>
        <v>44</v>
      </c>
      <c r="D61" s="22" t="s">
        <v>370</v>
      </c>
      <c r="E61" s="9" t="s">
        <v>371</v>
      </c>
      <c r="F61" s="5" t="s">
        <v>58</v>
      </c>
      <c r="G61" s="9" t="s">
        <v>372</v>
      </c>
      <c r="H61" s="9"/>
      <c r="I61" s="9" t="s">
        <v>303</v>
      </c>
      <c r="J61" s="9" t="s">
        <v>61</v>
      </c>
      <c r="K61" s="9">
        <v>66502</v>
      </c>
      <c r="L61" s="9" t="s">
        <v>373</v>
      </c>
      <c r="M61" s="9"/>
      <c r="N61" s="9"/>
      <c r="O61" s="9"/>
      <c r="P61" s="9" t="s">
        <v>374</v>
      </c>
      <c r="Q61" s="9"/>
      <c r="R61" s="9"/>
      <c r="S61" s="9" t="str">
        <f>"Sep 23-Nov 5"</f>
        <v>Sep 23-Nov 5</v>
      </c>
    </row>
    <row r="62" spans="1:19" ht="26.25" x14ac:dyDescent="0.25">
      <c r="A62" s="1">
        <v>40865</v>
      </c>
      <c r="B62" s="1">
        <v>40908</v>
      </c>
      <c r="C62" s="2">
        <f t="shared" si="0"/>
        <v>44</v>
      </c>
      <c r="D62" s="6" t="s">
        <v>1983</v>
      </c>
      <c r="E62" s="3" t="s">
        <v>1984</v>
      </c>
      <c r="F62" s="5" t="s">
        <v>58</v>
      </c>
      <c r="G62" s="3" t="s">
        <v>907</v>
      </c>
      <c r="H62" s="3" t="s">
        <v>1985</v>
      </c>
      <c r="I62" s="3" t="s">
        <v>60</v>
      </c>
      <c r="J62" s="3" t="s">
        <v>61</v>
      </c>
      <c r="K62" s="3">
        <v>66605</v>
      </c>
      <c r="L62" s="3" t="s">
        <v>1986</v>
      </c>
      <c r="M62" s="3"/>
      <c r="N62" s="3"/>
      <c r="O62" s="3"/>
      <c r="P62" s="3"/>
      <c r="Q62" s="3"/>
      <c r="R62" s="3" t="s">
        <v>67</v>
      </c>
      <c r="S62" s="3" t="str">
        <f>"Nov 18-Dec 31"</f>
        <v>Nov 18-Dec 31</v>
      </c>
    </row>
    <row r="63" spans="1:19" ht="39" x14ac:dyDescent="0.25">
      <c r="A63" s="1">
        <v>40880</v>
      </c>
      <c r="B63" s="1">
        <v>40923</v>
      </c>
      <c r="C63" s="2">
        <f t="shared" si="0"/>
        <v>44</v>
      </c>
      <c r="D63" s="6" t="s">
        <v>2486</v>
      </c>
      <c r="E63" s="3" t="s">
        <v>2487</v>
      </c>
      <c r="F63" s="5" t="s">
        <v>58</v>
      </c>
      <c r="G63" s="3" t="s">
        <v>284</v>
      </c>
      <c r="H63" s="3"/>
      <c r="I63" s="3" t="s">
        <v>245</v>
      </c>
      <c r="J63" s="3" t="s">
        <v>61</v>
      </c>
      <c r="K63" s="3">
        <v>67401</v>
      </c>
      <c r="L63" s="3" t="s">
        <v>285</v>
      </c>
      <c r="M63" s="3"/>
      <c r="N63" s="3"/>
      <c r="O63" s="3" t="s">
        <v>286</v>
      </c>
      <c r="P63" s="3" t="s">
        <v>287</v>
      </c>
      <c r="Q63" s="3" t="s">
        <v>67</v>
      </c>
      <c r="R63" s="3" t="s">
        <v>67</v>
      </c>
      <c r="S63" s="3" t="str">
        <f>"Dec 3-Jan 15"</f>
        <v>Dec 3-Jan 15</v>
      </c>
    </row>
    <row r="64" spans="1:19" ht="26.25" x14ac:dyDescent="0.25">
      <c r="A64" s="1">
        <v>41126</v>
      </c>
      <c r="B64" s="1">
        <v>41169</v>
      </c>
      <c r="C64" s="2">
        <f t="shared" si="0"/>
        <v>44</v>
      </c>
      <c r="D64" s="6" t="s">
        <v>3794</v>
      </c>
      <c r="E64" s="3" t="s">
        <v>3795</v>
      </c>
      <c r="F64" s="5" t="s">
        <v>58</v>
      </c>
      <c r="G64" s="3" t="s">
        <v>372</v>
      </c>
      <c r="H64" s="3"/>
      <c r="I64" s="3" t="s">
        <v>303</v>
      </c>
      <c r="J64" s="3" t="s">
        <v>61</v>
      </c>
      <c r="K64" s="3">
        <v>66502</v>
      </c>
      <c r="L64" s="3" t="s">
        <v>373</v>
      </c>
      <c r="M64" s="3"/>
      <c r="N64" s="3"/>
      <c r="O64" s="3" t="s">
        <v>3796</v>
      </c>
      <c r="P64" s="3" t="s">
        <v>374</v>
      </c>
      <c r="Q64" s="3"/>
      <c r="R64" s="3"/>
      <c r="S64" s="3" t="str">
        <f>"Aug 5-Sep 17"</f>
        <v>Aug 5-Sep 17</v>
      </c>
    </row>
    <row r="65" spans="1:19" ht="39" x14ac:dyDescent="0.25">
      <c r="A65" s="1">
        <v>40796</v>
      </c>
      <c r="B65" s="1">
        <v>40838</v>
      </c>
      <c r="C65" s="2">
        <f t="shared" si="0"/>
        <v>43</v>
      </c>
      <c r="D65" s="6" t="s">
        <v>300</v>
      </c>
      <c r="E65" s="3" t="s">
        <v>301</v>
      </c>
      <c r="F65" s="5" t="s">
        <v>58</v>
      </c>
      <c r="G65" s="3" t="s">
        <v>302</v>
      </c>
      <c r="H65" s="3"/>
      <c r="I65" s="3" t="s">
        <v>303</v>
      </c>
      <c r="J65" s="3" t="s">
        <v>61</v>
      </c>
      <c r="K65" s="3">
        <v>66502</v>
      </c>
      <c r="L65" s="3" t="s">
        <v>304</v>
      </c>
      <c r="M65" s="3"/>
      <c r="N65" s="3"/>
      <c r="O65" s="3"/>
      <c r="P65" s="3" t="s">
        <v>305</v>
      </c>
      <c r="Q65" s="3"/>
      <c r="R65" s="3"/>
      <c r="S65" s="3" t="str">
        <f>"Sep 10-Oct 22"</f>
        <v>Sep 10-Oct 22</v>
      </c>
    </row>
    <row r="66" spans="1:19" ht="39" x14ac:dyDescent="0.25">
      <c r="A66" s="1">
        <v>40866</v>
      </c>
      <c r="B66" s="1">
        <v>40908</v>
      </c>
      <c r="C66" s="2">
        <f t="shared" ref="C66:C129" si="1">(B66-A66)+1</f>
        <v>43</v>
      </c>
      <c r="D66" s="6" t="s">
        <v>2044</v>
      </c>
      <c r="E66" s="3" t="s">
        <v>2045</v>
      </c>
      <c r="F66" s="4" t="s">
        <v>58</v>
      </c>
      <c r="G66" s="3" t="s">
        <v>2046</v>
      </c>
      <c r="H66" s="3"/>
      <c r="I66" s="3" t="s">
        <v>2047</v>
      </c>
      <c r="J66" s="3" t="s">
        <v>61</v>
      </c>
      <c r="K66" s="3">
        <v>66050</v>
      </c>
      <c r="L66" s="3" t="s">
        <v>2048</v>
      </c>
      <c r="M66" s="3"/>
      <c r="N66" s="3"/>
      <c r="O66" s="3" t="s">
        <v>2049</v>
      </c>
      <c r="P66" s="3" t="s">
        <v>2050</v>
      </c>
      <c r="Q66" s="3" t="s">
        <v>67</v>
      </c>
      <c r="R66" s="3"/>
      <c r="S66" s="3" t="str">
        <f>"Nov 19-Dec 31"</f>
        <v>Nov 19-Dec 31</v>
      </c>
    </row>
    <row r="67" spans="1:19" ht="26.25" x14ac:dyDescent="0.25">
      <c r="A67" s="1">
        <v>40863</v>
      </c>
      <c r="B67" s="1">
        <v>40903</v>
      </c>
      <c r="C67" s="2">
        <f t="shared" si="1"/>
        <v>41</v>
      </c>
      <c r="D67" s="6" t="s">
        <v>1974</v>
      </c>
      <c r="E67" s="3" t="s">
        <v>1975</v>
      </c>
      <c r="F67" s="5" t="s">
        <v>58</v>
      </c>
      <c r="G67" s="3" t="s">
        <v>752</v>
      </c>
      <c r="H67" s="3" t="s">
        <v>753</v>
      </c>
      <c r="I67" s="3" t="s">
        <v>193</v>
      </c>
      <c r="J67" s="3" t="s">
        <v>61</v>
      </c>
      <c r="K67" s="3">
        <v>67530</v>
      </c>
      <c r="L67" s="3" t="s">
        <v>748</v>
      </c>
      <c r="M67" s="3"/>
      <c r="N67" s="3"/>
      <c r="O67" s="3" t="s">
        <v>749</v>
      </c>
      <c r="P67" s="3"/>
      <c r="Q67" s="3"/>
      <c r="R67" s="3"/>
      <c r="S67" s="3" t="str">
        <f>"Nov 16-Dec 26"</f>
        <v>Nov 16-Dec 26</v>
      </c>
    </row>
    <row r="68" spans="1:19" ht="26.25" x14ac:dyDescent="0.25">
      <c r="A68" s="1">
        <v>40867</v>
      </c>
      <c r="B68" s="1">
        <v>40907</v>
      </c>
      <c r="C68" s="2">
        <f t="shared" si="1"/>
        <v>41</v>
      </c>
      <c r="D68" s="6" t="s">
        <v>2070</v>
      </c>
      <c r="E68" s="3" t="s">
        <v>2071</v>
      </c>
      <c r="F68" s="5" t="s">
        <v>58</v>
      </c>
      <c r="G68" s="3" t="s">
        <v>2072</v>
      </c>
      <c r="H68" s="3" t="s">
        <v>503</v>
      </c>
      <c r="I68" s="3" t="s">
        <v>505</v>
      </c>
      <c r="J68" s="3" t="s">
        <v>61</v>
      </c>
      <c r="K68" s="3">
        <v>67156</v>
      </c>
      <c r="L68" s="3" t="s">
        <v>2073</v>
      </c>
      <c r="M68" s="3"/>
      <c r="N68" s="3"/>
      <c r="O68" s="3"/>
      <c r="P68" s="3"/>
      <c r="Q68" s="3" t="s">
        <v>67</v>
      </c>
      <c r="R68" s="3"/>
      <c r="S68" s="3" t="str">
        <f>"Nov 20-Dec 30"</f>
        <v>Nov 20-Dec 30</v>
      </c>
    </row>
    <row r="69" spans="1:19" ht="39" x14ac:dyDescent="0.25">
      <c r="A69" s="1">
        <v>40847</v>
      </c>
      <c r="B69" s="1">
        <v>40886</v>
      </c>
      <c r="C69" s="2">
        <f t="shared" si="1"/>
        <v>40</v>
      </c>
      <c r="D69" s="6" t="s">
        <v>1673</v>
      </c>
      <c r="E69" s="3" t="s">
        <v>1674</v>
      </c>
      <c r="F69" s="5" t="s">
        <v>58</v>
      </c>
      <c r="G69" s="3" t="s">
        <v>1675</v>
      </c>
      <c r="H69" s="3"/>
      <c r="I69" s="3" t="s">
        <v>1676</v>
      </c>
      <c r="J69" s="3" t="s">
        <v>61</v>
      </c>
      <c r="K69" s="3">
        <v>67547</v>
      </c>
      <c r="L69" s="3" t="s">
        <v>1677</v>
      </c>
      <c r="M69" s="3"/>
      <c r="N69" s="3"/>
      <c r="O69" s="3" t="s">
        <v>1678</v>
      </c>
      <c r="P69" s="3" t="s">
        <v>1679</v>
      </c>
      <c r="Q69" s="3" t="s">
        <v>67</v>
      </c>
      <c r="R69" s="3"/>
      <c r="S69" s="3" t="str">
        <f>"Oct 31-Dec 9"</f>
        <v>Oct 31-Dec 9</v>
      </c>
    </row>
    <row r="70" spans="1:19" ht="39" x14ac:dyDescent="0.25">
      <c r="A70" s="1">
        <v>40847</v>
      </c>
      <c r="B70" s="1">
        <v>40886</v>
      </c>
      <c r="C70" s="2">
        <f t="shared" si="1"/>
        <v>40</v>
      </c>
      <c r="D70" s="6" t="s">
        <v>1680</v>
      </c>
      <c r="E70" s="3" t="s">
        <v>312</v>
      </c>
      <c r="F70" s="5" t="s">
        <v>58</v>
      </c>
      <c r="G70" s="3" t="s">
        <v>1681</v>
      </c>
      <c r="H70" s="3" t="s">
        <v>1682</v>
      </c>
      <c r="I70" s="3" t="s">
        <v>1676</v>
      </c>
      <c r="J70" s="3" t="s">
        <v>61</v>
      </c>
      <c r="K70" s="3">
        <v>67547</v>
      </c>
      <c r="L70" s="3" t="s">
        <v>1677</v>
      </c>
      <c r="M70" s="3"/>
      <c r="N70" s="3"/>
      <c r="O70" s="3"/>
      <c r="P70" s="3" t="s">
        <v>1679</v>
      </c>
      <c r="Q70" s="3"/>
      <c r="R70" s="3"/>
      <c r="S70" s="3" t="str">
        <f>"Oct 31-Dec 9"</f>
        <v>Oct 31-Dec 9</v>
      </c>
    </row>
    <row r="71" spans="1:19" ht="39" x14ac:dyDescent="0.25">
      <c r="A71" s="1">
        <v>40799</v>
      </c>
      <c r="B71" s="1">
        <v>40837</v>
      </c>
      <c r="C71" s="2">
        <f t="shared" si="1"/>
        <v>39</v>
      </c>
      <c r="D71" s="6" t="s">
        <v>311</v>
      </c>
      <c r="E71" s="3" t="s">
        <v>312</v>
      </c>
      <c r="F71" s="5" t="s">
        <v>58</v>
      </c>
      <c r="G71" s="3" t="s">
        <v>313</v>
      </c>
      <c r="H71" s="3" t="s">
        <v>314</v>
      </c>
      <c r="I71" s="3" t="s">
        <v>315</v>
      </c>
      <c r="J71" s="3" t="s">
        <v>61</v>
      </c>
      <c r="K71" s="3">
        <v>66043</v>
      </c>
      <c r="L71" s="3" t="s">
        <v>316</v>
      </c>
      <c r="M71" s="3"/>
      <c r="N71" s="3"/>
      <c r="O71" s="3"/>
      <c r="P71" s="3" t="s">
        <v>317</v>
      </c>
      <c r="Q71" s="3"/>
      <c r="R71" s="3"/>
      <c r="S71" s="3" t="str">
        <f>"Sep 13-Oct 21"</f>
        <v>Sep 13-Oct 21</v>
      </c>
    </row>
    <row r="72" spans="1:19" ht="39" x14ac:dyDescent="0.25">
      <c r="A72" s="1">
        <v>40809</v>
      </c>
      <c r="B72" s="1">
        <v>40847</v>
      </c>
      <c r="C72" s="2">
        <f t="shared" si="1"/>
        <v>39</v>
      </c>
      <c r="D72" s="6" t="s">
        <v>361</v>
      </c>
      <c r="E72" s="3" t="s">
        <v>362</v>
      </c>
      <c r="F72" s="5" t="s">
        <v>58</v>
      </c>
      <c r="G72" s="3" t="s">
        <v>363</v>
      </c>
      <c r="H72" s="3" t="s">
        <v>364</v>
      </c>
      <c r="I72" s="3" t="s">
        <v>365</v>
      </c>
      <c r="J72" s="3" t="s">
        <v>61</v>
      </c>
      <c r="K72" s="3">
        <v>66012</v>
      </c>
      <c r="L72" s="3" t="s">
        <v>366</v>
      </c>
      <c r="M72" s="3"/>
      <c r="N72" s="3" t="s">
        <v>367</v>
      </c>
      <c r="O72" s="3" t="s">
        <v>368</v>
      </c>
      <c r="P72" s="3" t="s">
        <v>369</v>
      </c>
      <c r="Q72" s="3" t="s">
        <v>67</v>
      </c>
      <c r="R72" s="3"/>
      <c r="S72" s="3" t="str">
        <f>"Sep 23-Oct 31"</f>
        <v>Sep 23-Oct 31</v>
      </c>
    </row>
    <row r="73" spans="1:19" ht="26.25" x14ac:dyDescent="0.25">
      <c r="A73" s="1">
        <v>40870</v>
      </c>
      <c r="B73" s="1">
        <v>40908</v>
      </c>
      <c r="C73" s="2">
        <f t="shared" si="1"/>
        <v>39</v>
      </c>
      <c r="D73" s="6" t="s">
        <v>2081</v>
      </c>
      <c r="E73" s="3" t="s">
        <v>2082</v>
      </c>
      <c r="F73" s="5" t="s">
        <v>58</v>
      </c>
      <c r="G73" s="3" t="s">
        <v>2083</v>
      </c>
      <c r="H73" s="3" t="s">
        <v>2084</v>
      </c>
      <c r="I73" s="3" t="s">
        <v>193</v>
      </c>
      <c r="J73" s="3" t="s">
        <v>61</v>
      </c>
      <c r="K73" s="3">
        <v>67530</v>
      </c>
      <c r="L73" s="3" t="s">
        <v>194</v>
      </c>
      <c r="M73" s="3"/>
      <c r="N73" s="3"/>
      <c r="O73" s="3" t="s">
        <v>2085</v>
      </c>
      <c r="P73" s="3"/>
      <c r="Q73" s="3"/>
      <c r="R73" s="3"/>
      <c r="S73" s="3" t="str">
        <f>"Nov 23-Dec 31"</f>
        <v>Nov 23-Dec 31</v>
      </c>
    </row>
    <row r="74" spans="1:19" ht="26.25" x14ac:dyDescent="0.25">
      <c r="A74" s="1">
        <v>40809</v>
      </c>
      <c r="B74" s="1">
        <v>40846</v>
      </c>
      <c r="C74" s="2">
        <f t="shared" si="1"/>
        <v>38</v>
      </c>
      <c r="D74" s="6" t="s">
        <v>353</v>
      </c>
      <c r="E74" s="3" t="s">
        <v>354</v>
      </c>
      <c r="F74" s="5" t="s">
        <v>58</v>
      </c>
      <c r="G74" s="3" t="s">
        <v>355</v>
      </c>
      <c r="H74" s="3" t="s">
        <v>356</v>
      </c>
      <c r="I74" s="3" t="s">
        <v>357</v>
      </c>
      <c r="J74" s="3" t="s">
        <v>61</v>
      </c>
      <c r="K74" s="3">
        <v>67522</v>
      </c>
      <c r="L74" s="3" t="s">
        <v>358</v>
      </c>
      <c r="M74" s="3"/>
      <c r="N74" s="3"/>
      <c r="O74" s="3" t="s">
        <v>359</v>
      </c>
      <c r="P74" s="3" t="s">
        <v>360</v>
      </c>
      <c r="Q74" s="3" t="s">
        <v>67</v>
      </c>
      <c r="R74" s="3" t="s">
        <v>67</v>
      </c>
      <c r="S74" s="3" t="str">
        <f>"Sep 23-Oct 30"</f>
        <v>Sep 23-Oct 30</v>
      </c>
    </row>
    <row r="75" spans="1:19" ht="39" x14ac:dyDescent="0.25">
      <c r="A75" s="1">
        <v>40810</v>
      </c>
      <c r="B75" s="1">
        <v>40847</v>
      </c>
      <c r="C75" s="2">
        <f t="shared" si="1"/>
        <v>38</v>
      </c>
      <c r="D75" s="6" t="s">
        <v>392</v>
      </c>
      <c r="E75" s="3" t="s">
        <v>393</v>
      </c>
      <c r="F75" s="5" t="s">
        <v>58</v>
      </c>
      <c r="G75" s="3" t="s">
        <v>394</v>
      </c>
      <c r="H75" s="3"/>
      <c r="I75" s="3" t="s">
        <v>159</v>
      </c>
      <c r="J75" s="3" t="s">
        <v>61</v>
      </c>
      <c r="K75" s="3">
        <v>67301</v>
      </c>
      <c r="L75" s="3" t="s">
        <v>395</v>
      </c>
      <c r="M75" s="3"/>
      <c r="N75" s="3"/>
      <c r="O75" s="3"/>
      <c r="P75" s="3" t="s">
        <v>396</v>
      </c>
      <c r="Q75" s="3" t="s">
        <v>67</v>
      </c>
      <c r="R75" s="3"/>
      <c r="S75" s="3" t="str">
        <f>"Sep 24-Oct 31"</f>
        <v>Sep 24-Oct 31</v>
      </c>
    </row>
    <row r="76" spans="1:19" ht="39" x14ac:dyDescent="0.25">
      <c r="A76" s="1">
        <v>40810</v>
      </c>
      <c r="B76" s="1">
        <v>40847</v>
      </c>
      <c r="C76" s="2">
        <f t="shared" si="1"/>
        <v>38</v>
      </c>
      <c r="D76" s="6" t="s">
        <v>392</v>
      </c>
      <c r="E76" s="3" t="s">
        <v>393</v>
      </c>
      <c r="F76" s="5" t="s">
        <v>58</v>
      </c>
      <c r="G76" s="3" t="s">
        <v>394</v>
      </c>
      <c r="H76" s="3"/>
      <c r="I76" s="3" t="s">
        <v>159</v>
      </c>
      <c r="J76" s="3" t="s">
        <v>61</v>
      </c>
      <c r="K76" s="3">
        <v>67301</v>
      </c>
      <c r="L76" s="3" t="s">
        <v>395</v>
      </c>
      <c r="M76" s="3"/>
      <c r="N76" s="3"/>
      <c r="O76" s="3"/>
      <c r="P76" s="3" t="s">
        <v>396</v>
      </c>
      <c r="Q76" s="3" t="s">
        <v>67</v>
      </c>
      <c r="R76" s="3"/>
      <c r="S76" s="3" t="str">
        <f>"Sep 24-Oct 31"</f>
        <v>Sep 24-Oct 31</v>
      </c>
    </row>
    <row r="77" spans="1:19" ht="39" x14ac:dyDescent="0.25">
      <c r="A77" s="1">
        <v>40810</v>
      </c>
      <c r="B77" s="1">
        <v>40847</v>
      </c>
      <c r="C77" s="2">
        <f t="shared" si="1"/>
        <v>38</v>
      </c>
      <c r="D77" s="6" t="s">
        <v>397</v>
      </c>
      <c r="E77" s="3" t="s">
        <v>398</v>
      </c>
      <c r="F77" s="5" t="s">
        <v>58</v>
      </c>
      <c r="G77" s="3" t="s">
        <v>399</v>
      </c>
      <c r="H77" s="3"/>
      <c r="I77" s="3" t="s">
        <v>400</v>
      </c>
      <c r="J77" s="3" t="s">
        <v>61</v>
      </c>
      <c r="K77" s="3">
        <v>66067</v>
      </c>
      <c r="L77" s="3" t="s">
        <v>401</v>
      </c>
      <c r="M77" s="3"/>
      <c r="N77" s="3"/>
      <c r="O77" s="3" t="s">
        <v>402</v>
      </c>
      <c r="P77" s="3" t="s">
        <v>403</v>
      </c>
      <c r="Q77" s="3"/>
      <c r="R77" s="3"/>
      <c r="S77" s="3" t="str">
        <f>"Sep 24-Oct 31"</f>
        <v>Sep 24-Oct 31</v>
      </c>
    </row>
    <row r="78" spans="1:19" ht="26.25" x14ac:dyDescent="0.25">
      <c r="A78" s="1">
        <v>40810</v>
      </c>
      <c r="B78" s="1">
        <v>40846</v>
      </c>
      <c r="C78" s="2">
        <f t="shared" si="1"/>
        <v>37</v>
      </c>
      <c r="D78" s="6" t="s">
        <v>375</v>
      </c>
      <c r="E78" s="3" t="s">
        <v>376</v>
      </c>
      <c r="F78" s="5" t="s">
        <v>58</v>
      </c>
      <c r="G78" s="3" t="s">
        <v>377</v>
      </c>
      <c r="H78" s="3"/>
      <c r="I78" s="3" t="s">
        <v>378</v>
      </c>
      <c r="J78" s="3" t="s">
        <v>61</v>
      </c>
      <c r="K78" s="3">
        <v>67877</v>
      </c>
      <c r="L78" s="3" t="s">
        <v>379</v>
      </c>
      <c r="M78" s="3"/>
      <c r="N78" s="3"/>
      <c r="O78" s="3"/>
      <c r="P78" s="3"/>
      <c r="Q78" s="3"/>
      <c r="R78" s="3" t="s">
        <v>67</v>
      </c>
      <c r="S78" s="3" t="str">
        <f>"Sep 24-Oct 30"</f>
        <v>Sep 24-Oct 30</v>
      </c>
    </row>
    <row r="79" spans="1:19" ht="26.25" x14ac:dyDescent="0.25">
      <c r="A79" s="1">
        <v>40810</v>
      </c>
      <c r="B79" s="1">
        <v>40846</v>
      </c>
      <c r="C79" s="2">
        <f t="shared" si="1"/>
        <v>37</v>
      </c>
      <c r="D79" s="6" t="s">
        <v>380</v>
      </c>
      <c r="E79" s="3" t="s">
        <v>381</v>
      </c>
      <c r="F79" s="5" t="s">
        <v>58</v>
      </c>
      <c r="G79" s="3" t="s">
        <v>382</v>
      </c>
      <c r="H79" s="3"/>
      <c r="I79" s="3" t="s">
        <v>383</v>
      </c>
      <c r="J79" s="3" t="s">
        <v>61</v>
      </c>
      <c r="K79" s="3">
        <v>67583</v>
      </c>
      <c r="L79" s="3" t="s">
        <v>384</v>
      </c>
      <c r="M79" s="3"/>
      <c r="N79" s="3"/>
      <c r="O79" s="3" t="s">
        <v>385</v>
      </c>
      <c r="P79" s="3" t="s">
        <v>386</v>
      </c>
      <c r="Q79" s="3" t="s">
        <v>67</v>
      </c>
      <c r="R79" s="3" t="s">
        <v>67</v>
      </c>
      <c r="S79" s="3" t="str">
        <f>"Sep 24-Oct 30"</f>
        <v>Sep 24-Oct 30</v>
      </c>
    </row>
    <row r="80" spans="1:19" ht="26.25" x14ac:dyDescent="0.25">
      <c r="A80" s="1">
        <v>40810</v>
      </c>
      <c r="B80" s="1">
        <v>40846</v>
      </c>
      <c r="C80" s="2">
        <f t="shared" si="1"/>
        <v>37</v>
      </c>
      <c r="D80" s="6" t="s">
        <v>387</v>
      </c>
      <c r="E80" s="3" t="s">
        <v>388</v>
      </c>
      <c r="F80" s="5" t="s">
        <v>58</v>
      </c>
      <c r="G80" s="3" t="s">
        <v>389</v>
      </c>
      <c r="H80" s="3"/>
      <c r="I80" s="3" t="s">
        <v>193</v>
      </c>
      <c r="J80" s="3" t="s">
        <v>61</v>
      </c>
      <c r="K80" s="3">
        <v>67530</v>
      </c>
      <c r="L80" s="3" t="s">
        <v>390</v>
      </c>
      <c r="M80" s="3"/>
      <c r="N80" s="3"/>
      <c r="O80" s="3" t="s">
        <v>391</v>
      </c>
      <c r="P80" s="3"/>
      <c r="Q80" s="3"/>
      <c r="R80" s="3"/>
      <c r="S80" s="3" t="str">
        <f>"Sep 24-Oct 30"</f>
        <v>Sep 24-Oct 30</v>
      </c>
    </row>
    <row r="81" spans="1:19" ht="39" x14ac:dyDescent="0.25">
      <c r="A81" s="1">
        <v>40873</v>
      </c>
      <c r="B81" s="1">
        <v>40909</v>
      </c>
      <c r="C81" s="2">
        <f t="shared" si="1"/>
        <v>37</v>
      </c>
      <c r="D81" s="6" t="s">
        <v>2205</v>
      </c>
      <c r="E81" s="3" t="s">
        <v>2206</v>
      </c>
      <c r="F81" s="5" t="s">
        <v>58</v>
      </c>
      <c r="G81" s="3" t="s">
        <v>2132</v>
      </c>
      <c r="H81" s="3" t="s">
        <v>2207</v>
      </c>
      <c r="I81" s="3" t="s">
        <v>1225</v>
      </c>
      <c r="J81" s="3" t="s">
        <v>61</v>
      </c>
      <c r="K81" s="3">
        <v>67672</v>
      </c>
      <c r="L81" s="3" t="s">
        <v>2133</v>
      </c>
      <c r="M81" s="3" t="s">
        <v>2134</v>
      </c>
      <c r="N81" s="3"/>
      <c r="O81" s="3" t="s">
        <v>2128</v>
      </c>
      <c r="P81" s="3" t="s">
        <v>2129</v>
      </c>
      <c r="Q81" s="3" t="s">
        <v>67</v>
      </c>
      <c r="R81" s="3"/>
      <c r="S81" s="3" t="str">
        <f>"Nov 26-Jan 1"</f>
        <v>Nov 26-Jan 1</v>
      </c>
    </row>
    <row r="82" spans="1:19" x14ac:dyDescent="0.25">
      <c r="A82" s="1">
        <v>40873</v>
      </c>
      <c r="B82" s="1">
        <v>40908</v>
      </c>
      <c r="C82" s="2">
        <f t="shared" si="1"/>
        <v>36</v>
      </c>
      <c r="D82" s="6" t="s">
        <v>2203</v>
      </c>
      <c r="E82" s="3" t="s">
        <v>2204</v>
      </c>
      <c r="F82" s="5" t="s">
        <v>58</v>
      </c>
      <c r="G82" s="3" t="s">
        <v>2137</v>
      </c>
      <c r="H82" s="3" t="s">
        <v>2138</v>
      </c>
      <c r="I82" s="3" t="s">
        <v>193</v>
      </c>
      <c r="J82" s="3" t="s">
        <v>61</v>
      </c>
      <c r="K82" s="3">
        <v>67530</v>
      </c>
      <c r="L82" s="3" t="s">
        <v>194</v>
      </c>
      <c r="M82" s="3"/>
      <c r="N82" s="3"/>
      <c r="O82" s="3" t="s">
        <v>2085</v>
      </c>
      <c r="P82" s="3"/>
      <c r="Q82" s="3"/>
      <c r="R82" s="3"/>
      <c r="S82" s="3" t="str">
        <f>"Nov 26-Dec 31"</f>
        <v>Nov 26-Dec 31</v>
      </c>
    </row>
    <row r="83" spans="1:19" ht="26.25" x14ac:dyDescent="0.25">
      <c r="A83" s="1">
        <v>41066</v>
      </c>
      <c r="B83" s="1">
        <v>41101</v>
      </c>
      <c r="C83" s="2">
        <f t="shared" si="1"/>
        <v>36</v>
      </c>
      <c r="D83" s="6" t="s">
        <v>3381</v>
      </c>
      <c r="E83" s="3" t="s">
        <v>3382</v>
      </c>
      <c r="F83" s="5" t="s">
        <v>58</v>
      </c>
      <c r="G83" s="3" t="s">
        <v>3383</v>
      </c>
      <c r="H83" s="3" t="s">
        <v>3232</v>
      </c>
      <c r="I83" s="3" t="s">
        <v>105</v>
      </c>
      <c r="J83" s="3" t="s">
        <v>61</v>
      </c>
      <c r="K83" s="3">
        <v>66044</v>
      </c>
      <c r="L83" s="3" t="s">
        <v>3384</v>
      </c>
      <c r="M83" s="3"/>
      <c r="N83" s="3"/>
      <c r="O83" s="3"/>
      <c r="P83" s="3"/>
      <c r="Q83" s="3"/>
      <c r="R83" s="3"/>
      <c r="S83" s="3" t="str">
        <f>"Jun 6-Jul 11"</f>
        <v>Jun 6-Jul 11</v>
      </c>
    </row>
    <row r="84" spans="1:19" ht="26.25" x14ac:dyDescent="0.25">
      <c r="A84" s="1">
        <v>40809</v>
      </c>
      <c r="B84" s="1">
        <v>40843</v>
      </c>
      <c r="C84" s="2">
        <f t="shared" si="1"/>
        <v>35</v>
      </c>
      <c r="D84" s="6" t="s">
        <v>348</v>
      </c>
      <c r="E84" s="3" t="s">
        <v>349</v>
      </c>
      <c r="F84" s="5" t="s">
        <v>58</v>
      </c>
      <c r="G84" s="3" t="s">
        <v>350</v>
      </c>
      <c r="H84" s="3"/>
      <c r="I84" s="3" t="s">
        <v>165</v>
      </c>
      <c r="J84" s="3" t="s">
        <v>61</v>
      </c>
      <c r="K84" s="3">
        <v>66221</v>
      </c>
      <c r="L84" s="3" t="s">
        <v>351</v>
      </c>
      <c r="M84" s="3"/>
      <c r="N84" s="3"/>
      <c r="O84" s="3"/>
      <c r="P84" s="3" t="s">
        <v>352</v>
      </c>
      <c r="Q84" s="3" t="s">
        <v>67</v>
      </c>
      <c r="R84" s="3" t="s">
        <v>67</v>
      </c>
      <c r="S84" s="3" t="str">
        <f>"Sep 23-Oct 27"</f>
        <v>Sep 23-Oct 27</v>
      </c>
    </row>
    <row r="85" spans="1:19" ht="26.25" x14ac:dyDescent="0.25">
      <c r="A85" s="1">
        <v>40816</v>
      </c>
      <c r="B85" s="1">
        <v>40847</v>
      </c>
      <c r="C85" s="2">
        <f t="shared" si="1"/>
        <v>32</v>
      </c>
      <c r="D85" s="6" t="s">
        <v>489</v>
      </c>
      <c r="E85" s="3" t="s">
        <v>490</v>
      </c>
      <c r="F85" s="5" t="s">
        <v>58</v>
      </c>
      <c r="G85" s="3" t="s">
        <v>491</v>
      </c>
      <c r="H85" s="3"/>
      <c r="I85" s="3" t="s">
        <v>492</v>
      </c>
      <c r="J85" s="3" t="s">
        <v>61</v>
      </c>
      <c r="K85" s="3">
        <v>66431</v>
      </c>
      <c r="L85" s="3" t="s">
        <v>493</v>
      </c>
      <c r="M85" s="3"/>
      <c r="N85" s="3"/>
      <c r="O85" s="3"/>
      <c r="P85" s="3"/>
      <c r="Q85" s="3"/>
      <c r="R85" s="3"/>
      <c r="S85" s="3" t="str">
        <f>"Sep 30-Oct 31"</f>
        <v>Sep 30-Oct 31</v>
      </c>
    </row>
    <row r="86" spans="1:19" ht="26.25" x14ac:dyDescent="0.25">
      <c r="A86" s="1">
        <v>40816</v>
      </c>
      <c r="B86" s="1">
        <v>40846</v>
      </c>
      <c r="C86" s="2">
        <f t="shared" si="1"/>
        <v>31</v>
      </c>
      <c r="D86" s="6" t="s">
        <v>483</v>
      </c>
      <c r="E86" s="3" t="s">
        <v>483</v>
      </c>
      <c r="F86" s="5" t="s">
        <v>58</v>
      </c>
      <c r="G86" s="3" t="s">
        <v>484</v>
      </c>
      <c r="H86" s="3"/>
      <c r="I86" s="3" t="s">
        <v>485</v>
      </c>
      <c r="J86" s="3" t="s">
        <v>61</v>
      </c>
      <c r="K86" s="3">
        <v>66425</v>
      </c>
      <c r="L86" s="3" t="s">
        <v>486</v>
      </c>
      <c r="M86" s="3"/>
      <c r="N86" s="3"/>
      <c r="O86" s="3" t="s">
        <v>487</v>
      </c>
      <c r="P86" s="3" t="s">
        <v>488</v>
      </c>
      <c r="Q86" s="3"/>
      <c r="R86" s="3" t="s">
        <v>67</v>
      </c>
      <c r="S86" s="3" t="str">
        <f>"Sep 30-Oct 30"</f>
        <v>Sep 30-Oct 30</v>
      </c>
    </row>
    <row r="87" spans="1:19" ht="39" x14ac:dyDescent="0.25">
      <c r="A87" s="1">
        <v>40817</v>
      </c>
      <c r="B87" s="1">
        <v>40847</v>
      </c>
      <c r="C87" s="2">
        <f t="shared" si="1"/>
        <v>31</v>
      </c>
      <c r="D87" s="6" t="s">
        <v>709</v>
      </c>
      <c r="E87" s="3" t="s">
        <v>710</v>
      </c>
      <c r="F87" s="5" t="s">
        <v>58</v>
      </c>
      <c r="G87" s="3" t="s">
        <v>711</v>
      </c>
      <c r="H87" s="3" t="s">
        <v>712</v>
      </c>
      <c r="I87" s="3" t="s">
        <v>77</v>
      </c>
      <c r="J87" s="3" t="s">
        <v>61</v>
      </c>
      <c r="K87" s="3">
        <v>66067</v>
      </c>
      <c r="L87" s="3" t="s">
        <v>78</v>
      </c>
      <c r="M87" s="3"/>
      <c r="N87" s="3" t="s">
        <v>713</v>
      </c>
      <c r="O87" s="3" t="s">
        <v>79</v>
      </c>
      <c r="P87" s="3" t="s">
        <v>80</v>
      </c>
      <c r="Q87" s="3" t="s">
        <v>67</v>
      </c>
      <c r="R87" s="3" t="s">
        <v>67</v>
      </c>
      <c r="S87" s="3" t="str">
        <f>"Oct 1-31"</f>
        <v>Oct 1-31</v>
      </c>
    </row>
    <row r="88" spans="1:19" ht="39" x14ac:dyDescent="0.25">
      <c r="A88" s="1">
        <v>40817</v>
      </c>
      <c r="B88" s="1">
        <v>40847</v>
      </c>
      <c r="C88" s="2">
        <f t="shared" si="1"/>
        <v>31</v>
      </c>
      <c r="D88" s="6" t="s">
        <v>714</v>
      </c>
      <c r="E88" s="3" t="s">
        <v>715</v>
      </c>
      <c r="F88" s="5" t="s">
        <v>58</v>
      </c>
      <c r="G88" s="3" t="s">
        <v>716</v>
      </c>
      <c r="H88" s="3"/>
      <c r="I88" s="3" t="s">
        <v>455</v>
      </c>
      <c r="J88" s="3" t="s">
        <v>61</v>
      </c>
      <c r="K88" s="3">
        <v>66441</v>
      </c>
      <c r="L88" s="3" t="s">
        <v>717</v>
      </c>
      <c r="M88" s="3"/>
      <c r="N88" s="3"/>
      <c r="O88" s="3" t="s">
        <v>718</v>
      </c>
      <c r="P88" s="3" t="s">
        <v>719</v>
      </c>
      <c r="Q88" s="3" t="s">
        <v>67</v>
      </c>
      <c r="R88" s="3" t="s">
        <v>67</v>
      </c>
      <c r="S88" s="3" t="str">
        <f>"Oct 1-31"</f>
        <v>Oct 1-31</v>
      </c>
    </row>
    <row r="89" spans="1:19" ht="26.25" x14ac:dyDescent="0.25">
      <c r="A89" s="1">
        <v>40817</v>
      </c>
      <c r="B89" s="1">
        <v>40847</v>
      </c>
      <c r="C89" s="2">
        <f t="shared" si="1"/>
        <v>31</v>
      </c>
      <c r="D89" s="6" t="s">
        <v>720</v>
      </c>
      <c r="E89" s="3" t="s">
        <v>721</v>
      </c>
      <c r="F89" s="5" t="s">
        <v>58</v>
      </c>
      <c r="G89" s="3" t="s">
        <v>722</v>
      </c>
      <c r="H89" s="3"/>
      <c r="I89" s="3" t="s">
        <v>105</v>
      </c>
      <c r="J89" s="3" t="s">
        <v>61</v>
      </c>
      <c r="K89" s="3">
        <v>66044</v>
      </c>
      <c r="L89" s="3" t="s">
        <v>723</v>
      </c>
      <c r="M89" s="3"/>
      <c r="N89" s="3"/>
      <c r="O89" s="3"/>
      <c r="P89" s="3"/>
      <c r="Q89" s="3"/>
      <c r="R89" s="3"/>
      <c r="S89" s="3" t="str">
        <f>"Oct 1-31"</f>
        <v>Oct 1-31</v>
      </c>
    </row>
    <row r="90" spans="1:19" ht="39" x14ac:dyDescent="0.25">
      <c r="A90" s="1">
        <v>40817</v>
      </c>
      <c r="B90" s="1">
        <v>40847</v>
      </c>
      <c r="C90" s="2">
        <f t="shared" si="1"/>
        <v>31</v>
      </c>
      <c r="D90" s="6" t="s">
        <v>724</v>
      </c>
      <c r="E90" s="3" t="s">
        <v>725</v>
      </c>
      <c r="F90" s="5" t="s">
        <v>58</v>
      </c>
      <c r="G90" s="3" t="s">
        <v>726</v>
      </c>
      <c r="H90" s="3" t="s">
        <v>727</v>
      </c>
      <c r="I90" s="3" t="s">
        <v>245</v>
      </c>
      <c r="J90" s="3" t="s">
        <v>61</v>
      </c>
      <c r="K90" s="3">
        <v>67401</v>
      </c>
      <c r="L90" s="3" t="s">
        <v>728</v>
      </c>
      <c r="M90" s="3"/>
      <c r="N90" s="3"/>
      <c r="O90" s="3"/>
      <c r="P90" s="3" t="s">
        <v>729</v>
      </c>
      <c r="Q90" s="3" t="s">
        <v>67</v>
      </c>
      <c r="R90" s="3" t="s">
        <v>67</v>
      </c>
      <c r="S90" s="3" t="str">
        <f>"Oct 1-31"</f>
        <v>Oct 1-31</v>
      </c>
    </row>
    <row r="91" spans="1:19" ht="39" x14ac:dyDescent="0.25">
      <c r="A91" s="1">
        <v>40878</v>
      </c>
      <c r="B91" s="1">
        <v>40908</v>
      </c>
      <c r="C91" s="2">
        <f t="shared" si="1"/>
        <v>31</v>
      </c>
      <c r="D91" s="6" t="s">
        <v>2256</v>
      </c>
      <c r="E91" s="3" t="s">
        <v>2257</v>
      </c>
      <c r="F91" s="5" t="s">
        <v>58</v>
      </c>
      <c r="G91" s="3" t="s">
        <v>2258</v>
      </c>
      <c r="H91" s="3"/>
      <c r="I91" s="3" t="s">
        <v>227</v>
      </c>
      <c r="J91" s="3" t="s">
        <v>61</v>
      </c>
      <c r="K91" s="3">
        <v>67410</v>
      </c>
      <c r="L91" s="3" t="s">
        <v>2259</v>
      </c>
      <c r="M91" s="3"/>
      <c r="N91" s="3"/>
      <c r="O91" s="3" t="s">
        <v>2260</v>
      </c>
      <c r="P91" s="3" t="s">
        <v>2261</v>
      </c>
      <c r="Q91" s="3"/>
      <c r="R91" s="3"/>
      <c r="S91" s="3" t="str">
        <f>"Dec 1-31"</f>
        <v>Dec 1-31</v>
      </c>
    </row>
    <row r="92" spans="1:19" x14ac:dyDescent="0.25">
      <c r="A92" s="1">
        <v>40878</v>
      </c>
      <c r="B92" s="1">
        <v>40908</v>
      </c>
      <c r="C92" s="2">
        <f t="shared" si="1"/>
        <v>31</v>
      </c>
      <c r="D92" s="6" t="s">
        <v>2262</v>
      </c>
      <c r="E92" s="3" t="s">
        <v>2263</v>
      </c>
      <c r="F92" s="5" t="s">
        <v>58</v>
      </c>
      <c r="G92" s="3" t="s">
        <v>2264</v>
      </c>
      <c r="H92" s="3"/>
      <c r="I92" s="3" t="s">
        <v>2018</v>
      </c>
      <c r="J92" s="3" t="s">
        <v>61</v>
      </c>
      <c r="K92" s="3">
        <v>67735</v>
      </c>
      <c r="L92" s="3" t="s">
        <v>2265</v>
      </c>
      <c r="M92" s="3" t="s">
        <v>2020</v>
      </c>
      <c r="N92" s="3"/>
      <c r="O92" s="3" t="s">
        <v>2266</v>
      </c>
      <c r="P92" s="3"/>
      <c r="Q92" s="3"/>
      <c r="R92" s="3"/>
      <c r="S92" s="3" t="str">
        <f>"Dec 1-31"</f>
        <v>Dec 1-31</v>
      </c>
    </row>
    <row r="93" spans="1:19" ht="39" x14ac:dyDescent="0.25">
      <c r="A93" s="1">
        <v>41091</v>
      </c>
      <c r="B93" s="1">
        <v>41121</v>
      </c>
      <c r="C93" s="2">
        <f t="shared" si="1"/>
        <v>31</v>
      </c>
      <c r="D93" s="6" t="s">
        <v>3543</v>
      </c>
      <c r="E93" s="3" t="s">
        <v>3544</v>
      </c>
      <c r="F93" s="5" t="s">
        <v>58</v>
      </c>
      <c r="G93" s="3" t="s">
        <v>3545</v>
      </c>
      <c r="H93" s="3" t="s">
        <v>3546</v>
      </c>
      <c r="I93" s="3" t="s">
        <v>1446</v>
      </c>
      <c r="J93" s="3" t="s">
        <v>61</v>
      </c>
      <c r="K93" s="3">
        <v>66071</v>
      </c>
      <c r="L93" s="3" t="s">
        <v>3547</v>
      </c>
      <c r="M93" s="3"/>
      <c r="N93" s="3"/>
      <c r="O93" s="3" t="s">
        <v>3548</v>
      </c>
      <c r="P93" s="3" t="s">
        <v>3549</v>
      </c>
      <c r="Q93" s="3" t="s">
        <v>67</v>
      </c>
      <c r="R93" s="3"/>
      <c r="S93" s="3" t="str">
        <f>"Jul 1-31"</f>
        <v>Jul 1-31</v>
      </c>
    </row>
    <row r="94" spans="1:19" ht="39" x14ac:dyDescent="0.25">
      <c r="A94" s="1">
        <v>40817</v>
      </c>
      <c r="B94" s="1">
        <v>40846</v>
      </c>
      <c r="C94" s="2">
        <f t="shared" si="1"/>
        <v>30</v>
      </c>
      <c r="D94" s="6" t="s">
        <v>703</v>
      </c>
      <c r="E94" s="3" t="s">
        <v>704</v>
      </c>
      <c r="F94" s="5" t="s">
        <v>58</v>
      </c>
      <c r="G94" s="3" t="s">
        <v>705</v>
      </c>
      <c r="H94" s="3"/>
      <c r="I94" s="3" t="s">
        <v>365</v>
      </c>
      <c r="J94" s="3" t="s">
        <v>61</v>
      </c>
      <c r="K94" s="3">
        <v>66012</v>
      </c>
      <c r="L94" s="3" t="s">
        <v>706</v>
      </c>
      <c r="M94" s="3"/>
      <c r="N94" s="3" t="s">
        <v>706</v>
      </c>
      <c r="O94" s="3" t="s">
        <v>707</v>
      </c>
      <c r="P94" s="3" t="s">
        <v>708</v>
      </c>
      <c r="Q94" s="3" t="s">
        <v>67</v>
      </c>
      <c r="R94" s="3" t="s">
        <v>67</v>
      </c>
      <c r="S94" s="3" t="str">
        <f>"Oct 1-30"</f>
        <v>Oct 1-30</v>
      </c>
    </row>
    <row r="95" spans="1:19" ht="39" x14ac:dyDescent="0.25">
      <c r="A95" s="1">
        <v>40818</v>
      </c>
      <c r="B95" s="1">
        <v>40847</v>
      </c>
      <c r="C95" s="2">
        <f t="shared" si="1"/>
        <v>30</v>
      </c>
      <c r="D95" s="6" t="s">
        <v>754</v>
      </c>
      <c r="E95" s="3" t="s">
        <v>755</v>
      </c>
      <c r="F95" s="5" t="s">
        <v>58</v>
      </c>
      <c r="G95" s="3" t="s">
        <v>756</v>
      </c>
      <c r="H95" s="3" t="s">
        <v>757</v>
      </c>
      <c r="I95" s="3" t="s">
        <v>455</v>
      </c>
      <c r="J95" s="3" t="s">
        <v>61</v>
      </c>
      <c r="K95" s="3">
        <v>66441</v>
      </c>
      <c r="L95" s="3" t="s">
        <v>717</v>
      </c>
      <c r="M95" s="3"/>
      <c r="N95" s="3"/>
      <c r="O95" s="3"/>
      <c r="P95" s="3" t="s">
        <v>719</v>
      </c>
      <c r="Q95" s="3"/>
      <c r="R95" s="3" t="s">
        <v>67</v>
      </c>
      <c r="S95" s="3" t="str">
        <f>"Oct 2-31"</f>
        <v>Oct 2-31</v>
      </c>
    </row>
    <row r="96" spans="1:19" ht="39" x14ac:dyDescent="0.25">
      <c r="A96" s="1">
        <v>40872</v>
      </c>
      <c r="B96" s="1">
        <v>40901</v>
      </c>
      <c r="C96" s="2">
        <f t="shared" si="1"/>
        <v>30</v>
      </c>
      <c r="D96" s="6" t="s">
        <v>2113</v>
      </c>
      <c r="E96" s="3" t="s">
        <v>2114</v>
      </c>
      <c r="F96" s="5" t="s">
        <v>58</v>
      </c>
      <c r="G96" s="3" t="s">
        <v>399</v>
      </c>
      <c r="H96" s="3"/>
      <c r="I96" s="3" t="s">
        <v>400</v>
      </c>
      <c r="J96" s="3" t="s">
        <v>61</v>
      </c>
      <c r="K96" s="3">
        <v>66079</v>
      </c>
      <c r="L96" s="3" t="s">
        <v>2115</v>
      </c>
      <c r="M96" s="3" t="s">
        <v>2115</v>
      </c>
      <c r="N96" s="3"/>
      <c r="O96" s="3" t="s">
        <v>402</v>
      </c>
      <c r="P96" s="3" t="s">
        <v>403</v>
      </c>
      <c r="Q96" s="3"/>
      <c r="R96" s="3"/>
      <c r="S96" s="3" t="str">
        <f>"Nov 25-Dec 24"</f>
        <v>Nov 25-Dec 24</v>
      </c>
    </row>
    <row r="97" spans="1:19" ht="26.25" x14ac:dyDescent="0.25">
      <c r="A97" s="1">
        <v>40874</v>
      </c>
      <c r="B97" s="1">
        <v>40903</v>
      </c>
      <c r="C97" s="2">
        <f t="shared" si="1"/>
        <v>30</v>
      </c>
      <c r="D97" s="6" t="s">
        <v>2216</v>
      </c>
      <c r="E97" s="3" t="s">
        <v>2217</v>
      </c>
      <c r="F97" s="5" t="s">
        <v>58</v>
      </c>
      <c r="G97" s="3" t="s">
        <v>752</v>
      </c>
      <c r="H97" s="3" t="s">
        <v>753</v>
      </c>
      <c r="I97" s="3" t="s">
        <v>193</v>
      </c>
      <c r="J97" s="3" t="s">
        <v>61</v>
      </c>
      <c r="K97" s="3">
        <v>67530</v>
      </c>
      <c r="L97" s="3" t="s">
        <v>748</v>
      </c>
      <c r="M97" s="3"/>
      <c r="N97" s="3"/>
      <c r="O97" s="3" t="s">
        <v>749</v>
      </c>
      <c r="P97" s="3"/>
      <c r="Q97" s="3"/>
      <c r="R97" s="3"/>
      <c r="S97" s="3" t="str">
        <f>"Nov 27-Dec 26"</f>
        <v>Nov 27-Dec 26</v>
      </c>
    </row>
    <row r="98" spans="1:19" x14ac:dyDescent="0.25">
      <c r="A98" s="16">
        <v>40970</v>
      </c>
      <c r="B98" s="16">
        <v>40999</v>
      </c>
      <c r="C98" s="2">
        <f t="shared" si="1"/>
        <v>30</v>
      </c>
      <c r="D98" s="27" t="s">
        <v>2931</v>
      </c>
      <c r="E98" s="7" t="s">
        <v>2932</v>
      </c>
      <c r="F98" s="8" t="s">
        <v>58</v>
      </c>
      <c r="G98" s="7" t="s">
        <v>297</v>
      </c>
      <c r="H98" s="7"/>
      <c r="I98" s="7" t="s">
        <v>60</v>
      </c>
      <c r="J98" s="7" t="s">
        <v>61</v>
      </c>
      <c r="K98" s="7">
        <v>66606</v>
      </c>
      <c r="L98" s="7" t="s">
        <v>298</v>
      </c>
      <c r="M98" s="7"/>
      <c r="N98" s="7"/>
      <c r="O98" s="7"/>
      <c r="P98" s="7" t="s">
        <v>299</v>
      </c>
      <c r="Q98" s="7" t="s">
        <v>67</v>
      </c>
      <c r="R98" s="7" t="s">
        <v>67</v>
      </c>
      <c r="S98" s="7" t="str">
        <f>"Mar 2-31"</f>
        <v>Mar 2-31</v>
      </c>
    </row>
    <row r="99" spans="1:19" x14ac:dyDescent="0.25">
      <c r="A99" s="1">
        <v>41103</v>
      </c>
      <c r="B99" s="1">
        <v>41132</v>
      </c>
      <c r="C99" s="2">
        <f t="shared" si="1"/>
        <v>30</v>
      </c>
      <c r="D99" s="6" t="s">
        <v>3644</v>
      </c>
      <c r="E99" s="3" t="s">
        <v>3644</v>
      </c>
      <c r="F99" s="4" t="s">
        <v>58</v>
      </c>
      <c r="G99" s="3" t="s">
        <v>297</v>
      </c>
      <c r="H99" s="3"/>
      <c r="I99" s="3" t="s">
        <v>60</v>
      </c>
      <c r="J99" s="3" t="s">
        <v>61</v>
      </c>
      <c r="K99" s="3">
        <v>66606</v>
      </c>
      <c r="L99" s="3" t="s">
        <v>298</v>
      </c>
      <c r="M99" s="3"/>
      <c r="N99" s="3"/>
      <c r="O99" s="3"/>
      <c r="P99" s="3" t="s">
        <v>299</v>
      </c>
      <c r="Q99" s="3" t="s">
        <v>67</v>
      </c>
      <c r="R99" s="3" t="s">
        <v>67</v>
      </c>
      <c r="S99" s="3" t="str">
        <f>"Jul 13-Aug 11"</f>
        <v>Jul 13-Aug 11</v>
      </c>
    </row>
    <row r="100" spans="1:19" ht="26.25" x14ac:dyDescent="0.25">
      <c r="A100" s="1">
        <v>40872</v>
      </c>
      <c r="B100" s="1">
        <v>40900</v>
      </c>
      <c r="C100" s="2">
        <f t="shared" si="1"/>
        <v>29</v>
      </c>
      <c r="D100" s="6" t="s">
        <v>2111</v>
      </c>
      <c r="E100" s="3" t="s">
        <v>2112</v>
      </c>
      <c r="F100" s="4" t="s">
        <v>58</v>
      </c>
      <c r="G100" s="3" t="s">
        <v>297</v>
      </c>
      <c r="H100" s="3"/>
      <c r="I100" s="3" t="s">
        <v>60</v>
      </c>
      <c r="J100" s="3" t="s">
        <v>61</v>
      </c>
      <c r="K100" s="3">
        <v>66606</v>
      </c>
      <c r="L100" s="3" t="s">
        <v>298</v>
      </c>
      <c r="M100" s="3"/>
      <c r="N100" s="3"/>
      <c r="O100" s="3"/>
      <c r="P100" s="3" t="s">
        <v>299</v>
      </c>
      <c r="Q100" s="3" t="s">
        <v>67</v>
      </c>
      <c r="R100" s="3" t="s">
        <v>67</v>
      </c>
      <c r="S100" s="3" t="str">
        <f>"Nov 25-Dec 23"</f>
        <v>Nov 25-Dec 23</v>
      </c>
    </row>
    <row r="101" spans="1:19" ht="39" x14ac:dyDescent="0.25">
      <c r="A101" s="1">
        <v>40937</v>
      </c>
      <c r="B101" s="1">
        <v>40965</v>
      </c>
      <c r="C101" s="2">
        <f t="shared" si="1"/>
        <v>29</v>
      </c>
      <c r="D101" s="6" t="s">
        <v>2766</v>
      </c>
      <c r="E101" s="3" t="s">
        <v>2767</v>
      </c>
      <c r="F101" s="4" t="s">
        <v>58</v>
      </c>
      <c r="G101" s="3" t="s">
        <v>2768</v>
      </c>
      <c r="H101" s="3" t="s">
        <v>2769</v>
      </c>
      <c r="I101" s="3" t="s">
        <v>2047</v>
      </c>
      <c r="J101" s="3" t="s">
        <v>61</v>
      </c>
      <c r="K101" s="3">
        <v>66050</v>
      </c>
      <c r="L101" s="3" t="s">
        <v>2770</v>
      </c>
      <c r="M101" s="3"/>
      <c r="N101" s="3" t="s">
        <v>2770</v>
      </c>
      <c r="O101" s="3" t="s">
        <v>2771</v>
      </c>
      <c r="P101" s="3" t="s">
        <v>2050</v>
      </c>
      <c r="Q101" s="3" t="s">
        <v>67</v>
      </c>
      <c r="R101" s="3"/>
      <c r="S101" s="3" t="str">
        <f>"Jan 29-Feb 26"</f>
        <v>Jan 29-Feb 26</v>
      </c>
    </row>
    <row r="102" spans="1:19" ht="39" x14ac:dyDescent="0.25">
      <c r="A102" s="1">
        <v>40991</v>
      </c>
      <c r="B102" s="1">
        <v>41019</v>
      </c>
      <c r="C102" s="2">
        <f t="shared" si="1"/>
        <v>29</v>
      </c>
      <c r="D102" s="6" t="s">
        <v>3010</v>
      </c>
      <c r="E102" s="3" t="s">
        <v>3011</v>
      </c>
      <c r="F102" s="4" t="s">
        <v>58</v>
      </c>
      <c r="G102" s="3" t="s">
        <v>2972</v>
      </c>
      <c r="H102" s="3" t="s">
        <v>3012</v>
      </c>
      <c r="I102" s="3" t="s">
        <v>865</v>
      </c>
      <c r="J102" s="3" t="s">
        <v>61</v>
      </c>
      <c r="K102" s="3">
        <v>67601</v>
      </c>
      <c r="L102" s="3" t="s">
        <v>2744</v>
      </c>
      <c r="M102" s="3"/>
      <c r="N102" s="3"/>
      <c r="O102" s="3" t="s">
        <v>3013</v>
      </c>
      <c r="P102" s="3" t="s">
        <v>3014</v>
      </c>
      <c r="Q102" s="3" t="s">
        <v>67</v>
      </c>
      <c r="R102" s="3"/>
      <c r="S102" s="3" t="str">
        <f>"Mar 23-Apr 20"</f>
        <v>Mar 23-Apr 20</v>
      </c>
    </row>
    <row r="103" spans="1:19" ht="26.25" x14ac:dyDescent="0.25">
      <c r="A103" s="1">
        <v>41026</v>
      </c>
      <c r="B103" s="1">
        <v>41053</v>
      </c>
      <c r="C103" s="2">
        <f t="shared" si="1"/>
        <v>28</v>
      </c>
      <c r="D103" s="6" t="s">
        <v>3137</v>
      </c>
      <c r="E103" s="3" t="s">
        <v>3138</v>
      </c>
      <c r="F103" s="4" t="s">
        <v>58</v>
      </c>
      <c r="G103" s="3" t="s">
        <v>2972</v>
      </c>
      <c r="H103" s="3" t="s">
        <v>3012</v>
      </c>
      <c r="I103" s="3" t="s">
        <v>865</v>
      </c>
      <c r="J103" s="3" t="s">
        <v>61</v>
      </c>
      <c r="K103" s="3">
        <v>67601</v>
      </c>
      <c r="L103" s="3" t="s">
        <v>2744</v>
      </c>
      <c r="M103" s="3"/>
      <c r="N103" s="3"/>
      <c r="O103" s="3" t="s">
        <v>3013</v>
      </c>
      <c r="P103" s="3" t="s">
        <v>3139</v>
      </c>
      <c r="Q103" s="3" t="s">
        <v>67</v>
      </c>
      <c r="R103" s="3"/>
      <c r="S103" s="3" t="str">
        <f>"Apr 27-May 24"</f>
        <v>Apr 27-May 24</v>
      </c>
    </row>
    <row r="104" spans="1:19" x14ac:dyDescent="0.25">
      <c r="A104" s="1">
        <v>40823</v>
      </c>
      <c r="B104" s="1">
        <v>40845</v>
      </c>
      <c r="C104" s="2">
        <f t="shared" si="1"/>
        <v>23</v>
      </c>
      <c r="D104" s="6" t="s">
        <v>932</v>
      </c>
      <c r="E104" s="3" t="s">
        <v>932</v>
      </c>
      <c r="F104" s="4" t="s">
        <v>58</v>
      </c>
      <c r="G104" s="3" t="s">
        <v>933</v>
      </c>
      <c r="H104" s="3"/>
      <c r="I104" s="3" t="s">
        <v>60</v>
      </c>
      <c r="J104" s="3" t="s">
        <v>61</v>
      </c>
      <c r="K104" s="3">
        <v>66604</v>
      </c>
      <c r="L104" s="3" t="s">
        <v>934</v>
      </c>
      <c r="M104" s="3"/>
      <c r="N104" s="3"/>
      <c r="O104" s="3"/>
      <c r="P104" s="3" t="s">
        <v>935</v>
      </c>
      <c r="Q104" s="3" t="s">
        <v>67</v>
      </c>
      <c r="R104" s="3"/>
      <c r="S104" s="3" t="str">
        <f>"Oct 7-29"</f>
        <v>Oct 7-29</v>
      </c>
    </row>
    <row r="105" spans="1:19" ht="39" x14ac:dyDescent="0.25">
      <c r="A105" s="1">
        <v>40852</v>
      </c>
      <c r="B105" s="1">
        <v>40874</v>
      </c>
      <c r="C105" s="2">
        <f t="shared" si="1"/>
        <v>23</v>
      </c>
      <c r="D105" s="6" t="s">
        <v>1820</v>
      </c>
      <c r="E105" s="3" t="s">
        <v>1821</v>
      </c>
      <c r="F105" s="4" t="s">
        <v>58</v>
      </c>
      <c r="G105" s="3" t="s">
        <v>284</v>
      </c>
      <c r="H105" s="3"/>
      <c r="I105" s="3" t="s">
        <v>245</v>
      </c>
      <c r="J105" s="3" t="s">
        <v>61</v>
      </c>
      <c r="K105" s="3">
        <v>67401</v>
      </c>
      <c r="L105" s="3" t="s">
        <v>285</v>
      </c>
      <c r="M105" s="3"/>
      <c r="N105" s="3"/>
      <c r="O105" s="3" t="s">
        <v>286</v>
      </c>
      <c r="P105" s="3" t="s">
        <v>287</v>
      </c>
      <c r="Q105" s="3" t="s">
        <v>67</v>
      </c>
      <c r="R105" s="3" t="s">
        <v>67</v>
      </c>
      <c r="S105" s="3" t="str">
        <f>"Nov 5-27"</f>
        <v>Nov 5-27</v>
      </c>
    </row>
    <row r="106" spans="1:19" ht="26.25" x14ac:dyDescent="0.25">
      <c r="A106" s="1">
        <v>40921</v>
      </c>
      <c r="B106" s="1">
        <v>40943</v>
      </c>
      <c r="C106" s="2">
        <f t="shared" si="1"/>
        <v>23</v>
      </c>
      <c r="D106" s="6" t="s">
        <v>2695</v>
      </c>
      <c r="E106" s="3" t="s">
        <v>2696</v>
      </c>
      <c r="F106" s="4" t="s">
        <v>58</v>
      </c>
      <c r="G106" s="3" t="s">
        <v>297</v>
      </c>
      <c r="H106" s="3"/>
      <c r="I106" s="3" t="s">
        <v>60</v>
      </c>
      <c r="J106" s="3" t="s">
        <v>61</v>
      </c>
      <c r="K106" s="3">
        <v>66606</v>
      </c>
      <c r="L106" s="3" t="s">
        <v>298</v>
      </c>
      <c r="M106" s="3"/>
      <c r="N106" s="3"/>
      <c r="O106" s="3"/>
      <c r="P106" s="3" t="s">
        <v>299</v>
      </c>
      <c r="Q106" s="3" t="s">
        <v>67</v>
      </c>
      <c r="R106" s="3" t="s">
        <v>67</v>
      </c>
      <c r="S106" s="3" t="str">
        <f>"Jan 13-Feb 4"</f>
        <v>Jan 13-Feb 4</v>
      </c>
    </row>
    <row r="107" spans="1:19" ht="26.25" x14ac:dyDescent="0.25">
      <c r="A107" s="1">
        <v>40796</v>
      </c>
      <c r="B107" s="1">
        <v>40817</v>
      </c>
      <c r="C107" s="2">
        <f t="shared" si="1"/>
        <v>22</v>
      </c>
      <c r="D107" s="6" t="s">
        <v>295</v>
      </c>
      <c r="E107" s="3" t="s">
        <v>296</v>
      </c>
      <c r="F107" s="4" t="s">
        <v>58</v>
      </c>
      <c r="G107" s="3" t="s">
        <v>297</v>
      </c>
      <c r="H107" s="3"/>
      <c r="I107" s="3" t="s">
        <v>60</v>
      </c>
      <c r="J107" s="3" t="s">
        <v>61</v>
      </c>
      <c r="K107" s="3">
        <v>66606</v>
      </c>
      <c r="L107" s="3" t="s">
        <v>298</v>
      </c>
      <c r="M107" s="3"/>
      <c r="N107" s="3"/>
      <c r="O107" s="3"/>
      <c r="P107" s="3" t="s">
        <v>299</v>
      </c>
      <c r="Q107" s="3" t="s">
        <v>67</v>
      </c>
      <c r="R107" s="3" t="s">
        <v>67</v>
      </c>
      <c r="S107" s="3" t="str">
        <f>"Sep 10-Oct 1"</f>
        <v>Sep 10-Oct 1</v>
      </c>
    </row>
    <row r="108" spans="1:19" ht="39" x14ac:dyDescent="0.25">
      <c r="A108" s="1">
        <v>40818</v>
      </c>
      <c r="B108" s="1">
        <v>40839</v>
      </c>
      <c r="C108" s="2">
        <f t="shared" si="1"/>
        <v>22</v>
      </c>
      <c r="D108" s="6" t="s">
        <v>744</v>
      </c>
      <c r="E108" s="3" t="s">
        <v>745</v>
      </c>
      <c r="F108" s="8" t="s">
        <v>58</v>
      </c>
      <c r="G108" s="3" t="s">
        <v>746</v>
      </c>
      <c r="H108" s="3" t="s">
        <v>747</v>
      </c>
      <c r="I108" s="3" t="s">
        <v>193</v>
      </c>
      <c r="J108" s="3" t="s">
        <v>61</v>
      </c>
      <c r="K108" s="3">
        <v>67530</v>
      </c>
      <c r="L108" s="3" t="s">
        <v>748</v>
      </c>
      <c r="M108" s="3"/>
      <c r="N108" s="3"/>
      <c r="O108" s="3" t="s">
        <v>749</v>
      </c>
      <c r="P108" s="3"/>
      <c r="Q108" s="3" t="s">
        <v>67</v>
      </c>
      <c r="R108" s="3"/>
      <c r="S108" s="3" t="str">
        <f>"Oct 2-23"</f>
        <v>Oct 2-23</v>
      </c>
    </row>
    <row r="109" spans="1:19" ht="26.25" x14ac:dyDescent="0.25">
      <c r="A109" s="1">
        <v>40818</v>
      </c>
      <c r="B109" s="1">
        <v>40839</v>
      </c>
      <c r="C109" s="2">
        <f t="shared" si="1"/>
        <v>22</v>
      </c>
      <c r="D109" s="6" t="s">
        <v>750</v>
      </c>
      <c r="E109" s="3" t="s">
        <v>751</v>
      </c>
      <c r="F109" s="5" t="s">
        <v>58</v>
      </c>
      <c r="G109" s="3" t="s">
        <v>752</v>
      </c>
      <c r="H109" s="3" t="s">
        <v>753</v>
      </c>
      <c r="I109" s="3" t="s">
        <v>193</v>
      </c>
      <c r="J109" s="3" t="s">
        <v>61</v>
      </c>
      <c r="K109" s="3">
        <v>67530</v>
      </c>
      <c r="L109" s="3" t="s">
        <v>748</v>
      </c>
      <c r="M109" s="3"/>
      <c r="N109" s="3"/>
      <c r="O109" s="3" t="s">
        <v>749</v>
      </c>
      <c r="P109" s="3"/>
      <c r="Q109" s="3"/>
      <c r="R109" s="3"/>
      <c r="S109" s="3" t="str">
        <f>"Oct 2-23"</f>
        <v>Oct 2-23</v>
      </c>
    </row>
    <row r="110" spans="1:19" ht="26.25" x14ac:dyDescent="0.25">
      <c r="A110" s="1">
        <v>40935</v>
      </c>
      <c r="B110" s="1">
        <v>40956</v>
      </c>
      <c r="C110" s="2">
        <f t="shared" si="1"/>
        <v>22</v>
      </c>
      <c r="D110" s="6" t="s">
        <v>2741</v>
      </c>
      <c r="E110" s="3" t="s">
        <v>2742</v>
      </c>
      <c r="F110" s="4" t="s">
        <v>58</v>
      </c>
      <c r="G110" s="3" t="s">
        <v>1178</v>
      </c>
      <c r="H110" s="3" t="s">
        <v>2743</v>
      </c>
      <c r="I110" s="3" t="s">
        <v>865</v>
      </c>
      <c r="J110" s="3" t="s">
        <v>61</v>
      </c>
      <c r="K110" s="3">
        <v>67601</v>
      </c>
      <c r="L110" s="3" t="s">
        <v>2744</v>
      </c>
      <c r="M110" s="3"/>
      <c r="N110" s="3"/>
      <c r="O110" s="3"/>
      <c r="P110" s="3" t="s">
        <v>2745</v>
      </c>
      <c r="Q110" s="3" t="s">
        <v>67</v>
      </c>
      <c r="R110" s="3"/>
      <c r="S110" s="3" t="str">
        <f>"Jan 27-Feb 17"</f>
        <v>Jan 27-Feb 17</v>
      </c>
    </row>
    <row r="111" spans="1:19" ht="26.25" x14ac:dyDescent="0.25">
      <c r="A111" s="1">
        <v>40799</v>
      </c>
      <c r="B111" s="1">
        <v>40817</v>
      </c>
      <c r="C111" s="2">
        <f t="shared" si="1"/>
        <v>19</v>
      </c>
      <c r="D111" s="6" t="s">
        <v>306</v>
      </c>
      <c r="E111" s="3" t="s">
        <v>307</v>
      </c>
      <c r="F111" s="4" t="s">
        <v>58</v>
      </c>
      <c r="G111" s="3" t="s">
        <v>308</v>
      </c>
      <c r="H111" s="3"/>
      <c r="I111" s="3" t="s">
        <v>159</v>
      </c>
      <c r="J111" s="3" t="s">
        <v>61</v>
      </c>
      <c r="K111" s="3">
        <v>67301</v>
      </c>
      <c r="L111" s="3" t="s">
        <v>309</v>
      </c>
      <c r="M111" s="3"/>
      <c r="N111" s="3"/>
      <c r="O111" s="3"/>
      <c r="P111" s="3" t="s">
        <v>310</v>
      </c>
      <c r="Q111" s="3" t="s">
        <v>67</v>
      </c>
      <c r="R111" s="3" t="s">
        <v>67</v>
      </c>
      <c r="S111" s="3" t="str">
        <f>"Sep 13-Oct 1"</f>
        <v>Sep 13-Oct 1</v>
      </c>
    </row>
    <row r="112" spans="1:19" ht="26.25" x14ac:dyDescent="0.25">
      <c r="A112" s="1">
        <v>40833</v>
      </c>
      <c r="B112" s="1">
        <v>40850</v>
      </c>
      <c r="C112" s="2">
        <f t="shared" si="1"/>
        <v>18</v>
      </c>
      <c r="D112" s="6" t="s">
        <v>1362</v>
      </c>
      <c r="E112" s="3" t="s">
        <v>1363</v>
      </c>
      <c r="F112" s="4" t="s">
        <v>58</v>
      </c>
      <c r="G112" s="3" t="s">
        <v>1364</v>
      </c>
      <c r="H112" s="3" t="s">
        <v>1365</v>
      </c>
      <c r="I112" s="3" t="s">
        <v>1366</v>
      </c>
      <c r="J112" s="3" t="s">
        <v>61</v>
      </c>
      <c r="K112" s="3">
        <v>67045</v>
      </c>
      <c r="L112" s="3" t="s">
        <v>1367</v>
      </c>
      <c r="M112" s="3"/>
      <c r="N112" s="3"/>
      <c r="O112" s="3" t="s">
        <v>1368</v>
      </c>
      <c r="P112" s="3"/>
      <c r="Q112" s="3" t="s">
        <v>67</v>
      </c>
      <c r="R112" s="3"/>
      <c r="S112" s="3" t="str">
        <f>"Oct 17-Nov 3"</f>
        <v>Oct 17-Nov 3</v>
      </c>
    </row>
    <row r="113" spans="1:19" ht="26.25" x14ac:dyDescent="0.25">
      <c r="A113" s="1">
        <v>40809</v>
      </c>
      <c r="B113" s="1">
        <v>40825</v>
      </c>
      <c r="C113" s="2">
        <f t="shared" si="1"/>
        <v>17</v>
      </c>
      <c r="D113" s="6" t="s">
        <v>342</v>
      </c>
      <c r="E113" s="3" t="s">
        <v>343</v>
      </c>
      <c r="F113" s="4" t="s">
        <v>58</v>
      </c>
      <c r="G113" s="3" t="s">
        <v>344</v>
      </c>
      <c r="H113" s="3" t="s">
        <v>345</v>
      </c>
      <c r="I113" s="3" t="s">
        <v>105</v>
      </c>
      <c r="J113" s="3" t="s">
        <v>61</v>
      </c>
      <c r="K113" s="3">
        <v>66044</v>
      </c>
      <c r="L113" s="3" t="s">
        <v>346</v>
      </c>
      <c r="M113" s="3"/>
      <c r="N113" s="3"/>
      <c r="O113" s="3"/>
      <c r="P113" s="3" t="s">
        <v>347</v>
      </c>
      <c r="Q113" s="3"/>
      <c r="R113" s="3" t="s">
        <v>67</v>
      </c>
      <c r="S113" s="3" t="str">
        <f>"Sep 23-Oct 9"</f>
        <v>Sep 23-Oct 9</v>
      </c>
    </row>
    <row r="114" spans="1:19" ht="39" x14ac:dyDescent="0.25">
      <c r="A114" s="1">
        <v>40879</v>
      </c>
      <c r="B114" s="1">
        <v>40895</v>
      </c>
      <c r="C114" s="2">
        <f t="shared" si="1"/>
        <v>17</v>
      </c>
      <c r="D114" s="6" t="s">
        <v>2314</v>
      </c>
      <c r="E114" s="3" t="s">
        <v>2315</v>
      </c>
      <c r="F114" s="4" t="s">
        <v>58</v>
      </c>
      <c r="G114" s="3" t="s">
        <v>1231</v>
      </c>
      <c r="H114" s="3" t="s">
        <v>1232</v>
      </c>
      <c r="I114" s="3" t="s">
        <v>227</v>
      </c>
      <c r="J114" s="3" t="s">
        <v>61</v>
      </c>
      <c r="K114" s="3">
        <v>67410</v>
      </c>
      <c r="L114" s="3" t="s">
        <v>1233</v>
      </c>
      <c r="M114" s="3" t="s">
        <v>1234</v>
      </c>
      <c r="N114" s="3"/>
      <c r="O114" s="3" t="s">
        <v>1235</v>
      </c>
      <c r="P114" s="3" t="s">
        <v>1236</v>
      </c>
      <c r="Q114" s="3" t="s">
        <v>67</v>
      </c>
      <c r="R114" s="3" t="s">
        <v>67</v>
      </c>
      <c r="S114" s="3" t="str">
        <f>"Dec 2-18"</f>
        <v>Dec 2-18</v>
      </c>
    </row>
    <row r="115" spans="1:19" ht="26.25" x14ac:dyDescent="0.25">
      <c r="A115" s="1">
        <v>40879</v>
      </c>
      <c r="B115" s="1">
        <v>40895</v>
      </c>
      <c r="C115" s="2">
        <f t="shared" si="1"/>
        <v>17</v>
      </c>
      <c r="D115" s="6" t="s">
        <v>2316</v>
      </c>
      <c r="E115" s="3" t="s">
        <v>2317</v>
      </c>
      <c r="F115" s="4" t="s">
        <v>58</v>
      </c>
      <c r="G115" s="3" t="s">
        <v>344</v>
      </c>
      <c r="H115" s="3" t="s">
        <v>345</v>
      </c>
      <c r="I115" s="3" t="s">
        <v>105</v>
      </c>
      <c r="J115" s="3" t="s">
        <v>61</v>
      </c>
      <c r="K115" s="3">
        <v>66044</v>
      </c>
      <c r="L115" s="3" t="s">
        <v>346</v>
      </c>
      <c r="M115" s="3"/>
      <c r="N115" s="3"/>
      <c r="O115" s="3"/>
      <c r="P115" s="3" t="s">
        <v>2318</v>
      </c>
      <c r="Q115" s="3"/>
      <c r="R115" s="3" t="s">
        <v>67</v>
      </c>
      <c r="S115" s="3" t="str">
        <f>"Dec 2-18"</f>
        <v>Dec 2-18</v>
      </c>
    </row>
    <row r="116" spans="1:19" x14ac:dyDescent="0.25">
      <c r="A116" s="1">
        <v>41006</v>
      </c>
      <c r="B116" s="1">
        <v>41022</v>
      </c>
      <c r="C116" s="2">
        <f t="shared" si="1"/>
        <v>17</v>
      </c>
      <c r="D116" s="6" t="s">
        <v>3043</v>
      </c>
      <c r="E116" s="3" t="s">
        <v>3043</v>
      </c>
      <c r="F116" s="4" t="s">
        <v>58</v>
      </c>
      <c r="G116" s="3" t="s">
        <v>1459</v>
      </c>
      <c r="H116" s="3"/>
      <c r="I116" s="3" t="s">
        <v>60</v>
      </c>
      <c r="J116" s="3" t="s">
        <v>61</v>
      </c>
      <c r="K116" s="3">
        <v>66604</v>
      </c>
      <c r="L116" s="3" t="s">
        <v>2523</v>
      </c>
      <c r="M116" s="3"/>
      <c r="N116" s="3"/>
      <c r="O116" s="3"/>
      <c r="P116" s="3" t="s">
        <v>2524</v>
      </c>
      <c r="Q116" s="3" t="s">
        <v>67</v>
      </c>
      <c r="R116" s="3" t="s">
        <v>67</v>
      </c>
      <c r="S116" s="3" t="str">
        <f>"Apr 7-23"</f>
        <v>Apr 7-23</v>
      </c>
    </row>
    <row r="117" spans="1:19" x14ac:dyDescent="0.25">
      <c r="A117" s="1">
        <v>41006</v>
      </c>
      <c r="B117" s="1">
        <v>41022</v>
      </c>
      <c r="C117" s="2">
        <f t="shared" si="1"/>
        <v>17</v>
      </c>
      <c r="D117" s="6" t="s">
        <v>3043</v>
      </c>
      <c r="E117" s="3" t="s">
        <v>3043</v>
      </c>
      <c r="F117" s="4" t="s">
        <v>58</v>
      </c>
      <c r="G117" s="3" t="s">
        <v>1459</v>
      </c>
      <c r="H117" s="3"/>
      <c r="I117" s="3" t="s">
        <v>60</v>
      </c>
      <c r="J117" s="3" t="s">
        <v>61</v>
      </c>
      <c r="K117" s="3">
        <v>66604</v>
      </c>
      <c r="L117" s="3" t="s">
        <v>2523</v>
      </c>
      <c r="M117" s="3"/>
      <c r="N117" s="3"/>
      <c r="O117" s="3"/>
      <c r="P117" s="3" t="s">
        <v>2524</v>
      </c>
      <c r="Q117" s="3" t="s">
        <v>67</v>
      </c>
      <c r="R117" s="3" t="s">
        <v>67</v>
      </c>
      <c r="S117" s="3" t="str">
        <f>"Apr 7-23"</f>
        <v>Apr 7-23</v>
      </c>
    </row>
    <row r="118" spans="1:19" ht="26.25" x14ac:dyDescent="0.25">
      <c r="A118" s="1">
        <v>41012</v>
      </c>
      <c r="B118" s="1">
        <v>41028</v>
      </c>
      <c r="C118" s="2">
        <f t="shared" si="1"/>
        <v>17</v>
      </c>
      <c r="D118" s="6" t="s">
        <v>3059</v>
      </c>
      <c r="E118" s="3" t="s">
        <v>3060</v>
      </c>
      <c r="F118" s="4" t="s">
        <v>58</v>
      </c>
      <c r="G118" s="3" t="s">
        <v>344</v>
      </c>
      <c r="H118" s="3" t="s">
        <v>345</v>
      </c>
      <c r="I118" s="3" t="s">
        <v>105</v>
      </c>
      <c r="J118" s="3" t="s">
        <v>61</v>
      </c>
      <c r="K118" s="3">
        <v>66044</v>
      </c>
      <c r="L118" s="3" t="s">
        <v>346</v>
      </c>
      <c r="M118" s="3"/>
      <c r="N118" s="3"/>
      <c r="O118" s="3"/>
      <c r="P118" s="3" t="s">
        <v>2318</v>
      </c>
      <c r="Q118" s="3"/>
      <c r="R118" s="3" t="s">
        <v>67</v>
      </c>
      <c r="S118" s="3" t="str">
        <f>"Apr 13-29"</f>
        <v>Apr 13-29</v>
      </c>
    </row>
    <row r="119" spans="1:19" ht="26.25" x14ac:dyDescent="0.25">
      <c r="A119" s="1">
        <v>41033</v>
      </c>
      <c r="B119" s="1">
        <v>41049</v>
      </c>
      <c r="C119" s="2">
        <f t="shared" si="1"/>
        <v>17</v>
      </c>
      <c r="D119" s="6" t="s">
        <v>3211</v>
      </c>
      <c r="E119" s="3" t="s">
        <v>3212</v>
      </c>
      <c r="F119" s="4" t="s">
        <v>58</v>
      </c>
      <c r="G119" s="3" t="s">
        <v>3213</v>
      </c>
      <c r="H119" s="3"/>
      <c r="I119" s="3" t="s">
        <v>60</v>
      </c>
      <c r="J119" s="3" t="s">
        <v>61</v>
      </c>
      <c r="K119" s="3">
        <v>66606</v>
      </c>
      <c r="L119" s="3" t="s">
        <v>298</v>
      </c>
      <c r="M119" s="3"/>
      <c r="N119" s="3"/>
      <c r="O119" s="3"/>
      <c r="P119" s="3"/>
      <c r="Q119" s="3" t="s">
        <v>67</v>
      </c>
      <c r="R119" s="3" t="s">
        <v>67</v>
      </c>
      <c r="S119" s="3" t="str">
        <f>"May 4-20"</f>
        <v>May 4-20</v>
      </c>
    </row>
    <row r="120" spans="1:19" ht="26.25" x14ac:dyDescent="0.25">
      <c r="A120" s="1">
        <v>41068</v>
      </c>
      <c r="B120" s="1">
        <v>41084</v>
      </c>
      <c r="C120" s="2">
        <f t="shared" si="1"/>
        <v>17</v>
      </c>
      <c r="D120" s="6" t="s">
        <v>3410</v>
      </c>
      <c r="E120" s="3" t="s">
        <v>3411</v>
      </c>
      <c r="F120" s="10" t="s">
        <v>58</v>
      </c>
      <c r="G120" s="3" t="s">
        <v>344</v>
      </c>
      <c r="H120" s="3" t="s">
        <v>345</v>
      </c>
      <c r="I120" s="3" t="s">
        <v>105</v>
      </c>
      <c r="J120" s="3" t="s">
        <v>61</v>
      </c>
      <c r="K120" s="3">
        <v>66046</v>
      </c>
      <c r="L120" s="3" t="s">
        <v>346</v>
      </c>
      <c r="M120" s="3"/>
      <c r="N120" s="3"/>
      <c r="O120" s="3"/>
      <c r="P120" s="3" t="s">
        <v>2318</v>
      </c>
      <c r="Q120" s="3"/>
      <c r="R120" s="3" t="s">
        <v>67</v>
      </c>
      <c r="S120" s="3" t="str">
        <f>"Jun 8-24"</f>
        <v>Jun 8-24</v>
      </c>
    </row>
    <row r="121" spans="1:19" ht="26.25" customHeight="1" x14ac:dyDescent="0.25">
      <c r="A121" s="16">
        <v>40837</v>
      </c>
      <c r="B121" s="16">
        <v>40852</v>
      </c>
      <c r="C121" s="2">
        <f t="shared" si="1"/>
        <v>16</v>
      </c>
      <c r="D121" s="27" t="s">
        <v>1425</v>
      </c>
      <c r="E121" s="20" t="s">
        <v>1426</v>
      </c>
      <c r="F121" s="19" t="s">
        <v>58</v>
      </c>
      <c r="G121" s="17" t="s">
        <v>297</v>
      </c>
      <c r="H121" s="7"/>
      <c r="I121" s="7" t="s">
        <v>60</v>
      </c>
      <c r="J121" s="7" t="s">
        <v>61</v>
      </c>
      <c r="K121" s="7">
        <v>66606</v>
      </c>
      <c r="L121" s="7" t="s">
        <v>298</v>
      </c>
      <c r="M121" s="7"/>
      <c r="N121" s="7"/>
      <c r="O121" s="7"/>
      <c r="P121" s="7" t="s">
        <v>299</v>
      </c>
      <c r="Q121" s="7" t="s">
        <v>67</v>
      </c>
      <c r="R121" s="7" t="s">
        <v>67</v>
      </c>
      <c r="S121" s="7" t="str">
        <f>"Oct 21-Nov 5"</f>
        <v>Oct 21-Nov 5</v>
      </c>
    </row>
    <row r="122" spans="1:19" ht="39" x14ac:dyDescent="0.25">
      <c r="A122" s="1">
        <v>40844</v>
      </c>
      <c r="B122" s="1">
        <v>40859</v>
      </c>
      <c r="C122" s="2">
        <f t="shared" si="1"/>
        <v>16</v>
      </c>
      <c r="D122" s="6" t="s">
        <v>1586</v>
      </c>
      <c r="E122" s="3" t="s">
        <v>1587</v>
      </c>
      <c r="F122" s="5" t="s">
        <v>58</v>
      </c>
      <c r="G122" s="3" t="s">
        <v>1588</v>
      </c>
      <c r="H122" s="3"/>
      <c r="I122" s="3" t="s">
        <v>993</v>
      </c>
      <c r="J122" s="3" t="s">
        <v>61</v>
      </c>
      <c r="K122" s="3">
        <v>66048</v>
      </c>
      <c r="L122" s="3" t="s">
        <v>1589</v>
      </c>
      <c r="M122" s="3"/>
      <c r="N122" s="3"/>
      <c r="O122" s="3" t="s">
        <v>1590</v>
      </c>
      <c r="P122" s="3" t="s">
        <v>1591</v>
      </c>
      <c r="Q122" s="3" t="s">
        <v>67</v>
      </c>
      <c r="R122" s="3" t="s">
        <v>67</v>
      </c>
      <c r="S122" s="3" t="str">
        <f>"Oct 28-Nov 12"</f>
        <v>Oct 28-Nov 12</v>
      </c>
    </row>
    <row r="123" spans="1:19" x14ac:dyDescent="0.25">
      <c r="A123" s="1">
        <v>40852</v>
      </c>
      <c r="B123" s="1">
        <v>40867</v>
      </c>
      <c r="C123" s="2">
        <f t="shared" si="1"/>
        <v>16</v>
      </c>
      <c r="D123" s="6" t="s">
        <v>1816</v>
      </c>
      <c r="E123" s="3" t="s">
        <v>1816</v>
      </c>
      <c r="F123" s="4" t="s">
        <v>58</v>
      </c>
      <c r="G123" s="3" t="s">
        <v>1721</v>
      </c>
      <c r="H123" s="3" t="s">
        <v>1817</v>
      </c>
      <c r="I123" s="3" t="s">
        <v>60</v>
      </c>
      <c r="J123" s="3" t="s">
        <v>61</v>
      </c>
      <c r="K123" s="3">
        <v>66604</v>
      </c>
      <c r="L123" s="3" t="s">
        <v>1818</v>
      </c>
      <c r="M123" s="3"/>
      <c r="N123" s="3"/>
      <c r="O123" s="3"/>
      <c r="P123" s="3" t="s">
        <v>1819</v>
      </c>
      <c r="Q123" s="3" t="s">
        <v>67</v>
      </c>
      <c r="R123" s="3" t="s">
        <v>67</v>
      </c>
      <c r="S123" s="3" t="str">
        <f>"Nov 5-20"</f>
        <v>Nov 5-20</v>
      </c>
    </row>
    <row r="124" spans="1:19" ht="26.25" x14ac:dyDescent="0.25">
      <c r="A124" s="1">
        <v>40880</v>
      </c>
      <c r="B124" s="1">
        <v>40895</v>
      </c>
      <c r="C124" s="2">
        <f t="shared" si="1"/>
        <v>16</v>
      </c>
      <c r="D124" s="6" t="s">
        <v>2481</v>
      </c>
      <c r="E124" s="3" t="s">
        <v>2482</v>
      </c>
      <c r="F124" s="4" t="s">
        <v>58</v>
      </c>
      <c r="G124" s="3" t="s">
        <v>2483</v>
      </c>
      <c r="H124" s="3" t="s">
        <v>2484</v>
      </c>
      <c r="I124" s="3" t="s">
        <v>105</v>
      </c>
      <c r="J124" s="3" t="s">
        <v>61</v>
      </c>
      <c r="K124" s="3">
        <v>66044</v>
      </c>
      <c r="L124" s="3" t="s">
        <v>2485</v>
      </c>
      <c r="M124" s="3"/>
      <c r="N124" s="3"/>
      <c r="O124" s="3"/>
      <c r="P124" s="3"/>
      <c r="Q124" s="3"/>
      <c r="R124" s="3"/>
      <c r="S124" s="3" t="str">
        <f>"Dec 3-18"</f>
        <v>Dec 3-18</v>
      </c>
    </row>
    <row r="125" spans="1:19" ht="39" x14ac:dyDescent="0.25">
      <c r="A125" s="1">
        <v>40963</v>
      </c>
      <c r="B125" s="1">
        <v>40978</v>
      </c>
      <c r="C125" s="2">
        <f t="shared" si="1"/>
        <v>16</v>
      </c>
      <c r="D125" s="6" t="s">
        <v>2912</v>
      </c>
      <c r="E125" s="3" t="s">
        <v>2913</v>
      </c>
      <c r="F125" s="4" t="s">
        <v>58</v>
      </c>
      <c r="G125" s="3" t="s">
        <v>2914</v>
      </c>
      <c r="H125" s="3"/>
      <c r="I125" s="3" t="s">
        <v>993</v>
      </c>
      <c r="J125" s="3" t="s">
        <v>61</v>
      </c>
      <c r="K125" s="3">
        <v>66048</v>
      </c>
      <c r="L125" s="3" t="s">
        <v>1589</v>
      </c>
      <c r="M125" s="3" t="s">
        <v>1889</v>
      </c>
      <c r="N125" s="3"/>
      <c r="O125" s="3" t="s">
        <v>2915</v>
      </c>
      <c r="P125" s="3" t="s">
        <v>1591</v>
      </c>
      <c r="Q125" s="3" t="s">
        <v>67</v>
      </c>
      <c r="R125" s="3" t="s">
        <v>67</v>
      </c>
      <c r="S125" s="3" t="str">
        <f>"Feb 24-Mar 10"</f>
        <v>Feb 24-Mar 10</v>
      </c>
    </row>
    <row r="126" spans="1:19" ht="39" x14ac:dyDescent="0.25">
      <c r="A126" s="1">
        <v>41019</v>
      </c>
      <c r="B126" s="1">
        <v>41034</v>
      </c>
      <c r="C126" s="2">
        <f t="shared" si="1"/>
        <v>16</v>
      </c>
      <c r="D126" s="6" t="s">
        <v>3078</v>
      </c>
      <c r="E126" s="3" t="s">
        <v>3079</v>
      </c>
      <c r="F126" s="4" t="s">
        <v>58</v>
      </c>
      <c r="G126" s="3" t="s">
        <v>3080</v>
      </c>
      <c r="H126" s="3" t="s">
        <v>3081</v>
      </c>
      <c r="I126" s="3" t="s">
        <v>993</v>
      </c>
      <c r="J126" s="3" t="s">
        <v>61</v>
      </c>
      <c r="K126" s="3">
        <v>66048</v>
      </c>
      <c r="L126" s="3" t="s">
        <v>1589</v>
      </c>
      <c r="M126" s="3"/>
      <c r="N126" s="3"/>
      <c r="O126" s="3" t="s">
        <v>3082</v>
      </c>
      <c r="P126" s="3" t="s">
        <v>1591</v>
      </c>
      <c r="Q126" s="3" t="s">
        <v>67</v>
      </c>
      <c r="R126" s="3" t="s">
        <v>67</v>
      </c>
      <c r="S126" s="3" t="str">
        <f>"Apr 20-May 5"</f>
        <v>Apr 20-May 5</v>
      </c>
    </row>
    <row r="127" spans="1:19" ht="26.25" x14ac:dyDescent="0.25">
      <c r="A127" s="1">
        <v>41019</v>
      </c>
      <c r="B127" s="1">
        <v>41034</v>
      </c>
      <c r="C127" s="2">
        <f t="shared" si="1"/>
        <v>16</v>
      </c>
      <c r="D127" s="6" t="s">
        <v>3083</v>
      </c>
      <c r="E127" s="3" t="s">
        <v>3083</v>
      </c>
      <c r="F127" s="4" t="s">
        <v>58</v>
      </c>
      <c r="G127" s="3" t="s">
        <v>3084</v>
      </c>
      <c r="H127" s="3"/>
      <c r="I127" s="3" t="s">
        <v>60</v>
      </c>
      <c r="J127" s="3" t="s">
        <v>61</v>
      </c>
      <c r="K127" s="3">
        <v>66606</v>
      </c>
      <c r="L127" s="3" t="s">
        <v>298</v>
      </c>
      <c r="M127" s="3"/>
      <c r="N127" s="3"/>
      <c r="O127" s="3"/>
      <c r="P127" s="3" t="s">
        <v>299</v>
      </c>
      <c r="Q127" s="3" t="s">
        <v>67</v>
      </c>
      <c r="R127" s="3" t="s">
        <v>67</v>
      </c>
      <c r="S127" s="3" t="str">
        <f>"Apr 20-May 5"</f>
        <v>Apr 20-May 5</v>
      </c>
    </row>
    <row r="128" spans="1:19" ht="26.25" x14ac:dyDescent="0.25">
      <c r="A128" s="1">
        <v>41117</v>
      </c>
      <c r="B128" s="1">
        <v>41132</v>
      </c>
      <c r="C128" s="2">
        <f t="shared" si="1"/>
        <v>16</v>
      </c>
      <c r="D128" s="6" t="s">
        <v>3734</v>
      </c>
      <c r="E128" s="3" t="s">
        <v>3735</v>
      </c>
      <c r="F128" s="4" t="s">
        <v>58</v>
      </c>
      <c r="G128" s="3" t="s">
        <v>2914</v>
      </c>
      <c r="H128" s="3"/>
      <c r="I128" s="3" t="s">
        <v>993</v>
      </c>
      <c r="J128" s="3" t="s">
        <v>61</v>
      </c>
      <c r="K128" s="3">
        <v>66048</v>
      </c>
      <c r="L128" s="3" t="s">
        <v>1589</v>
      </c>
      <c r="M128" s="3" t="s">
        <v>1889</v>
      </c>
      <c r="N128" s="3"/>
      <c r="O128" s="3" t="s">
        <v>1590</v>
      </c>
      <c r="P128" s="3" t="s">
        <v>1591</v>
      </c>
      <c r="Q128" s="3" t="s">
        <v>67</v>
      </c>
      <c r="R128" s="3" t="s">
        <v>67</v>
      </c>
      <c r="S128" s="3" t="str">
        <f>"Jul 27-Aug 11"</f>
        <v>Jul 27-Aug 11</v>
      </c>
    </row>
    <row r="129" spans="1:19" ht="39" x14ac:dyDescent="0.25">
      <c r="A129" s="1">
        <v>40880</v>
      </c>
      <c r="B129" s="1">
        <v>40894</v>
      </c>
      <c r="C129" s="2">
        <f t="shared" si="1"/>
        <v>15</v>
      </c>
      <c r="D129" s="6" t="s">
        <v>2478</v>
      </c>
      <c r="E129" s="3" t="s">
        <v>2479</v>
      </c>
      <c r="F129" s="4" t="s">
        <v>58</v>
      </c>
      <c r="G129" s="3" t="s">
        <v>2480</v>
      </c>
      <c r="H129" s="3"/>
      <c r="I129" s="3" t="s">
        <v>85</v>
      </c>
      <c r="J129" s="3" t="s">
        <v>61</v>
      </c>
      <c r="K129" s="3">
        <v>67501</v>
      </c>
      <c r="L129" s="3" t="s">
        <v>99</v>
      </c>
      <c r="M129" s="3"/>
      <c r="N129" s="3"/>
      <c r="O129" s="3"/>
      <c r="P129" s="3"/>
      <c r="Q129" s="3" t="s">
        <v>67</v>
      </c>
      <c r="R129" s="3"/>
      <c r="S129" s="3" t="str">
        <f>"Dec 3-17"</f>
        <v>Dec 3-17</v>
      </c>
    </row>
    <row r="130" spans="1:19" ht="39" x14ac:dyDescent="0.25">
      <c r="A130" s="1">
        <v>41159</v>
      </c>
      <c r="B130" s="1">
        <v>41171</v>
      </c>
      <c r="C130" s="2">
        <f t="shared" ref="C130:C193" si="2">(B130-A130)+1</f>
        <v>13</v>
      </c>
      <c r="D130" s="6" t="s">
        <v>3911</v>
      </c>
      <c r="E130" s="3" t="s">
        <v>3912</v>
      </c>
      <c r="F130" s="4" t="s">
        <v>58</v>
      </c>
      <c r="G130" s="3" t="s">
        <v>3603</v>
      </c>
      <c r="H130" s="3"/>
      <c r="I130" s="3" t="s">
        <v>77</v>
      </c>
      <c r="J130" s="3" t="s">
        <v>61</v>
      </c>
      <c r="K130" s="3">
        <v>66067</v>
      </c>
      <c r="L130" s="3" t="s">
        <v>3913</v>
      </c>
      <c r="M130" s="3"/>
      <c r="N130" s="3"/>
      <c r="O130" s="3"/>
      <c r="P130" s="3" t="s">
        <v>3914</v>
      </c>
      <c r="Q130" s="3" t="s">
        <v>67</v>
      </c>
      <c r="R130" s="3" t="s">
        <v>67</v>
      </c>
      <c r="S130" s="3" t="str">
        <f>"Sep 7-19"</f>
        <v>Sep 7-19</v>
      </c>
    </row>
    <row r="131" spans="1:19" ht="26.25" x14ac:dyDescent="0.25">
      <c r="A131" s="1">
        <v>40884</v>
      </c>
      <c r="B131" s="1">
        <v>40895</v>
      </c>
      <c r="C131" s="2">
        <f t="shared" si="2"/>
        <v>12</v>
      </c>
      <c r="D131" s="6" t="s">
        <v>2543</v>
      </c>
      <c r="E131" s="3" t="s">
        <v>2544</v>
      </c>
      <c r="F131" s="4" t="s">
        <v>58</v>
      </c>
      <c r="G131" s="3" t="s">
        <v>2414</v>
      </c>
      <c r="H131" s="3" t="s">
        <v>1628</v>
      </c>
      <c r="I131" s="3" t="s">
        <v>227</v>
      </c>
      <c r="J131" s="3" t="s">
        <v>61</v>
      </c>
      <c r="K131" s="3">
        <v>67410</v>
      </c>
      <c r="L131" s="3" t="s">
        <v>1629</v>
      </c>
      <c r="M131" s="3" t="s">
        <v>1630</v>
      </c>
      <c r="N131" s="3"/>
      <c r="O131" s="3" t="s">
        <v>1631</v>
      </c>
      <c r="P131" s="3" t="s">
        <v>2473</v>
      </c>
      <c r="Q131" s="3" t="s">
        <v>67</v>
      </c>
      <c r="R131" s="3" t="s">
        <v>67</v>
      </c>
      <c r="S131" s="3" t="str">
        <f>"Dec 7-18"</f>
        <v>Dec 7-18</v>
      </c>
    </row>
    <row r="132" spans="1:19" ht="39" x14ac:dyDescent="0.25">
      <c r="A132" s="1">
        <v>40809</v>
      </c>
      <c r="B132" s="1">
        <v>40818</v>
      </c>
      <c r="C132" s="2">
        <f t="shared" si="2"/>
        <v>10</v>
      </c>
      <c r="D132" s="6" t="s">
        <v>339</v>
      </c>
      <c r="E132" s="3" t="s">
        <v>340</v>
      </c>
      <c r="F132" s="4" t="s">
        <v>58</v>
      </c>
      <c r="G132" s="3" t="s">
        <v>302</v>
      </c>
      <c r="H132" s="3"/>
      <c r="I132" s="3" t="s">
        <v>303</v>
      </c>
      <c r="J132" s="3" t="s">
        <v>61</v>
      </c>
      <c r="K132" s="3">
        <v>66502</v>
      </c>
      <c r="L132" s="3" t="s">
        <v>304</v>
      </c>
      <c r="M132" s="3"/>
      <c r="N132" s="3"/>
      <c r="O132" s="3"/>
      <c r="P132" s="3" t="s">
        <v>341</v>
      </c>
      <c r="Q132" s="3" t="s">
        <v>67</v>
      </c>
      <c r="R132" s="3" t="s">
        <v>67</v>
      </c>
      <c r="S132" s="3" t="str">
        <f>"Sep 23-Oct 2"</f>
        <v>Sep 23-Oct 2</v>
      </c>
    </row>
    <row r="133" spans="1:19" x14ac:dyDescent="0.25">
      <c r="A133" s="1">
        <v>40823</v>
      </c>
      <c r="B133" s="1">
        <v>40832</v>
      </c>
      <c r="C133" s="2">
        <f t="shared" si="2"/>
        <v>10</v>
      </c>
      <c r="D133" s="6" t="s">
        <v>931</v>
      </c>
      <c r="E133" s="3" t="s">
        <v>931</v>
      </c>
      <c r="F133" s="4" t="s">
        <v>58</v>
      </c>
      <c r="G133" s="3" t="s">
        <v>297</v>
      </c>
      <c r="H133" s="3"/>
      <c r="I133" s="3" t="s">
        <v>60</v>
      </c>
      <c r="J133" s="3" t="s">
        <v>61</v>
      </c>
      <c r="K133" s="3">
        <v>66606</v>
      </c>
      <c r="L133" s="3" t="s">
        <v>298</v>
      </c>
      <c r="M133" s="3"/>
      <c r="N133" s="3"/>
      <c r="O133" s="3"/>
      <c r="P133" s="3" t="s">
        <v>299</v>
      </c>
      <c r="Q133" s="3" t="s">
        <v>67</v>
      </c>
      <c r="R133" s="3" t="s">
        <v>67</v>
      </c>
      <c r="S133" s="3" t="str">
        <f>"Oct 7-16"</f>
        <v>Oct 7-16</v>
      </c>
    </row>
    <row r="134" spans="1:19" ht="39" x14ac:dyDescent="0.25">
      <c r="A134" s="1">
        <v>40829</v>
      </c>
      <c r="B134" s="1">
        <v>40838</v>
      </c>
      <c r="C134" s="2">
        <f t="shared" si="2"/>
        <v>10</v>
      </c>
      <c r="D134" s="6" t="s">
        <v>1191</v>
      </c>
      <c r="E134" s="3" t="s">
        <v>1192</v>
      </c>
      <c r="F134" s="4" t="s">
        <v>58</v>
      </c>
      <c r="G134" s="3" t="s">
        <v>1193</v>
      </c>
      <c r="H134" s="3"/>
      <c r="I134" s="3" t="s">
        <v>303</v>
      </c>
      <c r="J134" s="3" t="s">
        <v>61</v>
      </c>
      <c r="K134" s="3">
        <v>66502</v>
      </c>
      <c r="L134" s="3" t="s">
        <v>1129</v>
      </c>
      <c r="M134" s="3"/>
      <c r="N134" s="3"/>
      <c r="O134" s="3"/>
      <c r="P134" s="3" t="s">
        <v>1194</v>
      </c>
      <c r="Q134" s="3"/>
      <c r="R134" s="3" t="s">
        <v>67</v>
      </c>
      <c r="S134" s="3" t="str">
        <f>"Oct 13-22"</f>
        <v>Oct 13-22</v>
      </c>
    </row>
    <row r="135" spans="1:19" ht="26.25" x14ac:dyDescent="0.25">
      <c r="A135" s="1">
        <v>40830</v>
      </c>
      <c r="B135" s="1">
        <v>40839</v>
      </c>
      <c r="C135" s="2">
        <f t="shared" si="2"/>
        <v>10</v>
      </c>
      <c r="D135" s="6" t="s">
        <v>1229</v>
      </c>
      <c r="E135" s="3" t="s">
        <v>1230</v>
      </c>
      <c r="F135" s="4" t="s">
        <v>58</v>
      </c>
      <c r="G135" s="3" t="s">
        <v>1231</v>
      </c>
      <c r="H135" s="3" t="s">
        <v>1232</v>
      </c>
      <c r="I135" s="3" t="s">
        <v>227</v>
      </c>
      <c r="J135" s="3" t="s">
        <v>61</v>
      </c>
      <c r="K135" s="3">
        <v>67410</v>
      </c>
      <c r="L135" s="3" t="s">
        <v>1233</v>
      </c>
      <c r="M135" s="3" t="s">
        <v>1234</v>
      </c>
      <c r="N135" s="3"/>
      <c r="O135" s="3" t="s">
        <v>1235</v>
      </c>
      <c r="P135" s="3" t="s">
        <v>1236</v>
      </c>
      <c r="Q135" s="3" t="s">
        <v>67</v>
      </c>
      <c r="R135" s="3" t="s">
        <v>67</v>
      </c>
      <c r="S135" s="3" t="str">
        <f>"Oct 14-23"</f>
        <v>Oct 14-23</v>
      </c>
    </row>
    <row r="136" spans="1:19" ht="39" x14ac:dyDescent="0.25">
      <c r="A136" s="1">
        <v>40844</v>
      </c>
      <c r="B136" s="1">
        <v>40853</v>
      </c>
      <c r="C136" s="2">
        <f t="shared" si="2"/>
        <v>10</v>
      </c>
      <c r="D136" s="6" t="s">
        <v>1584</v>
      </c>
      <c r="E136" s="3" t="s">
        <v>1585</v>
      </c>
      <c r="F136" s="4" t="s">
        <v>58</v>
      </c>
      <c r="G136" s="3" t="s">
        <v>1231</v>
      </c>
      <c r="H136" s="3" t="s">
        <v>1232</v>
      </c>
      <c r="I136" s="3" t="s">
        <v>227</v>
      </c>
      <c r="J136" s="3" t="s">
        <v>61</v>
      </c>
      <c r="K136" s="3">
        <v>67410</v>
      </c>
      <c r="L136" s="3" t="s">
        <v>1233</v>
      </c>
      <c r="M136" s="3" t="s">
        <v>1234</v>
      </c>
      <c r="N136" s="3"/>
      <c r="O136" s="3" t="s">
        <v>1235</v>
      </c>
      <c r="P136" s="3" t="s">
        <v>1236</v>
      </c>
      <c r="Q136" s="3" t="s">
        <v>67</v>
      </c>
      <c r="R136" s="3" t="s">
        <v>67</v>
      </c>
      <c r="S136" s="3" t="str">
        <f>"Oct 28-Nov 6"</f>
        <v>Oct 28-Nov 6</v>
      </c>
    </row>
    <row r="137" spans="1:19" ht="51.75" x14ac:dyDescent="0.25">
      <c r="A137" s="1">
        <v>40851</v>
      </c>
      <c r="B137" s="1">
        <v>40860</v>
      </c>
      <c r="C137" s="2">
        <f t="shared" si="2"/>
        <v>10</v>
      </c>
      <c r="D137" s="6" t="s">
        <v>1717</v>
      </c>
      <c r="E137" s="3" t="s">
        <v>3995</v>
      </c>
      <c r="F137" s="4" t="s">
        <v>58</v>
      </c>
      <c r="G137" s="3" t="s">
        <v>302</v>
      </c>
      <c r="H137" s="3"/>
      <c r="I137" s="3" t="s">
        <v>303</v>
      </c>
      <c r="J137" s="3" t="s">
        <v>61</v>
      </c>
      <c r="K137" s="3">
        <v>66502</v>
      </c>
      <c r="L137" s="3" t="s">
        <v>304</v>
      </c>
      <c r="M137" s="3"/>
      <c r="N137" s="3"/>
      <c r="O137" s="3"/>
      <c r="P137" s="3" t="s">
        <v>1718</v>
      </c>
      <c r="Q137" s="3" t="s">
        <v>67</v>
      </c>
      <c r="R137" s="3" t="s">
        <v>67</v>
      </c>
      <c r="S137" s="3" t="str">
        <f>"Nov 4-13"</f>
        <v>Nov 4-13</v>
      </c>
    </row>
    <row r="138" spans="1:19" ht="26.25" x14ac:dyDescent="0.25">
      <c r="A138" s="1">
        <v>40858</v>
      </c>
      <c r="B138" s="1">
        <v>40867</v>
      </c>
      <c r="C138" s="2">
        <f t="shared" si="2"/>
        <v>10</v>
      </c>
      <c r="D138" s="6" t="s">
        <v>1918</v>
      </c>
      <c r="E138" s="3" t="s">
        <v>1919</v>
      </c>
      <c r="F138" s="4" t="s">
        <v>58</v>
      </c>
      <c r="G138" s="3" t="s">
        <v>297</v>
      </c>
      <c r="H138" s="3"/>
      <c r="I138" s="3" t="s">
        <v>60</v>
      </c>
      <c r="J138" s="3" t="s">
        <v>61</v>
      </c>
      <c r="K138" s="3">
        <v>66606</v>
      </c>
      <c r="L138" s="3" t="s">
        <v>298</v>
      </c>
      <c r="M138" s="3"/>
      <c r="N138" s="3"/>
      <c r="O138" s="3"/>
      <c r="P138" s="3" t="s">
        <v>299</v>
      </c>
      <c r="Q138" s="3" t="s">
        <v>67</v>
      </c>
      <c r="R138" s="3" t="s">
        <v>67</v>
      </c>
      <c r="S138" s="3" t="str">
        <f>"Nov 11-20"</f>
        <v>Nov 11-20</v>
      </c>
    </row>
    <row r="139" spans="1:19" ht="26.25" x14ac:dyDescent="0.25">
      <c r="A139" s="1">
        <v>40859</v>
      </c>
      <c r="B139" s="1">
        <v>40868</v>
      </c>
      <c r="C139" s="2">
        <f t="shared" si="2"/>
        <v>10</v>
      </c>
      <c r="D139" s="6" t="s">
        <v>1957</v>
      </c>
      <c r="E139" s="3" t="s">
        <v>1958</v>
      </c>
      <c r="F139" s="4" t="s">
        <v>58</v>
      </c>
      <c r="G139" s="3" t="s">
        <v>1348</v>
      </c>
      <c r="H139" s="3"/>
      <c r="I139" s="3" t="s">
        <v>105</v>
      </c>
      <c r="J139" s="3" t="s">
        <v>61</v>
      </c>
      <c r="K139" s="3">
        <v>66046</v>
      </c>
      <c r="L139" s="3" t="s">
        <v>1349</v>
      </c>
      <c r="M139" s="3"/>
      <c r="N139" s="3"/>
      <c r="O139" s="3"/>
      <c r="P139" s="3" t="s">
        <v>1350</v>
      </c>
      <c r="Q139" s="3" t="s">
        <v>67</v>
      </c>
      <c r="R139" s="3" t="s">
        <v>67</v>
      </c>
      <c r="S139" s="3" t="str">
        <f>"Nov 12-21"</f>
        <v>Nov 12-21</v>
      </c>
    </row>
    <row r="140" spans="1:19" x14ac:dyDescent="0.25">
      <c r="A140" s="1">
        <v>40879</v>
      </c>
      <c r="B140" s="1">
        <v>40888</v>
      </c>
      <c r="C140" s="2">
        <f t="shared" si="2"/>
        <v>10</v>
      </c>
      <c r="D140" s="6" t="s">
        <v>2312</v>
      </c>
      <c r="E140" s="3" t="s">
        <v>2312</v>
      </c>
      <c r="F140" s="4" t="s">
        <v>58</v>
      </c>
      <c r="G140" s="3" t="s">
        <v>1721</v>
      </c>
      <c r="H140" s="3" t="s">
        <v>2313</v>
      </c>
      <c r="I140" s="3" t="s">
        <v>60</v>
      </c>
      <c r="J140" s="3" t="s">
        <v>61</v>
      </c>
      <c r="K140" s="3">
        <v>66604</v>
      </c>
      <c r="L140" s="3" t="s">
        <v>1818</v>
      </c>
      <c r="M140" s="3"/>
      <c r="N140" s="3"/>
      <c r="O140" s="3"/>
      <c r="P140" s="3" t="s">
        <v>1819</v>
      </c>
      <c r="Q140" s="3" t="s">
        <v>67</v>
      </c>
      <c r="R140" s="3" t="s">
        <v>67</v>
      </c>
      <c r="S140" s="3" t="str">
        <f>"Dec 2-11"</f>
        <v>Dec 2-11</v>
      </c>
    </row>
    <row r="141" spans="1:19" x14ac:dyDescent="0.25">
      <c r="A141" s="1">
        <v>40886</v>
      </c>
      <c r="B141" s="1">
        <v>40895</v>
      </c>
      <c r="C141" s="2">
        <f t="shared" si="2"/>
        <v>10</v>
      </c>
      <c r="D141" s="6" t="s">
        <v>2568</v>
      </c>
      <c r="E141" s="3" t="s">
        <v>2569</v>
      </c>
      <c r="F141" s="5" t="s">
        <v>58</v>
      </c>
      <c r="G141" s="3" t="s">
        <v>297</v>
      </c>
      <c r="H141" s="3"/>
      <c r="I141" s="3" t="s">
        <v>60</v>
      </c>
      <c r="J141" s="3" t="s">
        <v>61</v>
      </c>
      <c r="K141" s="3">
        <v>66606</v>
      </c>
      <c r="L141" s="3" t="s">
        <v>298</v>
      </c>
      <c r="M141" s="3"/>
      <c r="N141" s="3"/>
      <c r="O141" s="3"/>
      <c r="P141" s="3" t="s">
        <v>299</v>
      </c>
      <c r="Q141" s="3" t="s">
        <v>67</v>
      </c>
      <c r="R141" s="3" t="s">
        <v>67</v>
      </c>
      <c r="S141" s="3" t="str">
        <f>"Dec 9-18"</f>
        <v>Dec 9-18</v>
      </c>
    </row>
    <row r="142" spans="1:19" ht="39" x14ac:dyDescent="0.25">
      <c r="A142" s="1">
        <v>40886</v>
      </c>
      <c r="B142" s="1">
        <v>40895</v>
      </c>
      <c r="C142" s="2">
        <f t="shared" si="2"/>
        <v>10</v>
      </c>
      <c r="D142" s="6" t="s">
        <v>2570</v>
      </c>
      <c r="E142" s="3" t="s">
        <v>2571</v>
      </c>
      <c r="F142" s="4" t="s">
        <v>58</v>
      </c>
      <c r="G142" s="3" t="s">
        <v>2141</v>
      </c>
      <c r="H142" s="3" t="s">
        <v>2142</v>
      </c>
      <c r="I142" s="3" t="s">
        <v>105</v>
      </c>
      <c r="J142" s="3" t="s">
        <v>61</v>
      </c>
      <c r="K142" s="3">
        <v>66044</v>
      </c>
      <c r="L142" s="3" t="s">
        <v>2143</v>
      </c>
      <c r="M142" s="3"/>
      <c r="N142" s="3"/>
      <c r="O142" s="3"/>
      <c r="P142" s="3" t="s">
        <v>2572</v>
      </c>
      <c r="Q142" s="3" t="s">
        <v>67</v>
      </c>
      <c r="R142" s="3" t="s">
        <v>67</v>
      </c>
      <c r="S142" s="3" t="str">
        <f>"Dec 9-18"</f>
        <v>Dec 9-18</v>
      </c>
    </row>
    <row r="143" spans="1:19" ht="26.25" x14ac:dyDescent="0.25">
      <c r="A143" s="1">
        <v>40928</v>
      </c>
      <c r="B143" s="1">
        <v>40937</v>
      </c>
      <c r="C143" s="2">
        <f t="shared" si="2"/>
        <v>10</v>
      </c>
      <c r="D143" s="6" t="s">
        <v>2729</v>
      </c>
      <c r="E143" s="3" t="s">
        <v>2730</v>
      </c>
      <c r="F143" s="4" t="s">
        <v>58</v>
      </c>
      <c r="G143" s="3" t="s">
        <v>344</v>
      </c>
      <c r="H143" s="3" t="s">
        <v>345</v>
      </c>
      <c r="I143" s="3" t="s">
        <v>105</v>
      </c>
      <c r="J143" s="3" t="s">
        <v>61</v>
      </c>
      <c r="K143" s="3">
        <v>66044</v>
      </c>
      <c r="L143" s="3" t="s">
        <v>346</v>
      </c>
      <c r="M143" s="3"/>
      <c r="N143" s="3"/>
      <c r="O143" s="3"/>
      <c r="P143" s="3"/>
      <c r="Q143" s="3"/>
      <c r="R143" s="3" t="s">
        <v>67</v>
      </c>
      <c r="S143" s="3" t="str">
        <f>"Jan 20-29"</f>
        <v>Jan 20-29</v>
      </c>
    </row>
    <row r="144" spans="1:19" ht="26.25" x14ac:dyDescent="0.25">
      <c r="A144" s="1">
        <v>40949</v>
      </c>
      <c r="B144" s="1">
        <v>40958</v>
      </c>
      <c r="C144" s="2">
        <f t="shared" si="2"/>
        <v>10</v>
      </c>
      <c r="D144" s="6" t="s">
        <v>2819</v>
      </c>
      <c r="E144" s="3" t="s">
        <v>2820</v>
      </c>
      <c r="F144" s="4" t="s">
        <v>58</v>
      </c>
      <c r="G144" s="3" t="s">
        <v>297</v>
      </c>
      <c r="H144" s="3"/>
      <c r="I144" s="3" t="s">
        <v>60</v>
      </c>
      <c r="J144" s="3" t="s">
        <v>61</v>
      </c>
      <c r="K144" s="3">
        <v>66606</v>
      </c>
      <c r="L144" s="3" t="s">
        <v>298</v>
      </c>
      <c r="M144" s="3"/>
      <c r="N144" s="3"/>
      <c r="O144" s="3"/>
      <c r="P144" s="3" t="s">
        <v>299</v>
      </c>
      <c r="Q144" s="3" t="s">
        <v>67</v>
      </c>
      <c r="R144" s="3" t="s">
        <v>67</v>
      </c>
      <c r="S144" s="3" t="str">
        <f>"Feb 10-19"</f>
        <v>Feb 10-19</v>
      </c>
    </row>
    <row r="145" spans="1:19" x14ac:dyDescent="0.25">
      <c r="A145" s="1">
        <v>40963</v>
      </c>
      <c r="B145" s="1">
        <v>40972</v>
      </c>
      <c r="C145" s="2">
        <f t="shared" si="2"/>
        <v>10</v>
      </c>
      <c r="D145" s="6" t="s">
        <v>2909</v>
      </c>
      <c r="E145" s="3" t="s">
        <v>2910</v>
      </c>
      <c r="F145" s="8" t="s">
        <v>58</v>
      </c>
      <c r="G145" s="3" t="s">
        <v>344</v>
      </c>
      <c r="H145" s="3" t="s">
        <v>345</v>
      </c>
      <c r="I145" s="3" t="s">
        <v>105</v>
      </c>
      <c r="J145" s="3" t="s">
        <v>61</v>
      </c>
      <c r="K145" s="3">
        <v>66044</v>
      </c>
      <c r="L145" s="3" t="s">
        <v>346</v>
      </c>
      <c r="M145" s="3"/>
      <c r="N145" s="3"/>
      <c r="O145" s="3"/>
      <c r="P145" s="3"/>
      <c r="Q145" s="3"/>
      <c r="R145" s="3" t="s">
        <v>67</v>
      </c>
      <c r="S145" s="3" t="str">
        <f>"Feb 24-Mar 4"</f>
        <v>Feb 24-Mar 4</v>
      </c>
    </row>
    <row r="146" spans="1:19" ht="39" x14ac:dyDescent="0.25">
      <c r="A146" s="1">
        <v>40963</v>
      </c>
      <c r="B146" s="1">
        <v>40972</v>
      </c>
      <c r="C146" s="2">
        <f t="shared" si="2"/>
        <v>10</v>
      </c>
      <c r="D146" s="6" t="s">
        <v>2911</v>
      </c>
      <c r="E146" s="3" t="s">
        <v>3997</v>
      </c>
      <c r="F146" s="5" t="s">
        <v>58</v>
      </c>
      <c r="G146" s="3" t="s">
        <v>302</v>
      </c>
      <c r="H146" s="3"/>
      <c r="I146" s="3" t="s">
        <v>303</v>
      </c>
      <c r="J146" s="3" t="s">
        <v>61</v>
      </c>
      <c r="K146" s="3">
        <v>66502</v>
      </c>
      <c r="L146" s="3" t="s">
        <v>304</v>
      </c>
      <c r="M146" s="3"/>
      <c r="N146" s="3"/>
      <c r="O146" s="3"/>
      <c r="P146" s="3" t="s">
        <v>1718</v>
      </c>
      <c r="Q146" s="3" t="s">
        <v>67</v>
      </c>
      <c r="R146" s="3" t="s">
        <v>67</v>
      </c>
      <c r="S146" s="3" t="str">
        <f>"Feb 24-Mar 4"</f>
        <v>Feb 24-Mar 4</v>
      </c>
    </row>
    <row r="147" spans="1:19" x14ac:dyDescent="0.25">
      <c r="A147" s="1">
        <v>41005</v>
      </c>
      <c r="B147" s="1">
        <v>41014</v>
      </c>
      <c r="C147" s="2">
        <f t="shared" si="2"/>
        <v>10</v>
      </c>
      <c r="D147" s="6" t="s">
        <v>3042</v>
      </c>
      <c r="E147" s="3" t="s">
        <v>3042</v>
      </c>
      <c r="F147" s="4" t="s">
        <v>58</v>
      </c>
      <c r="G147" s="3" t="s">
        <v>297</v>
      </c>
      <c r="H147" s="3"/>
      <c r="I147" s="3" t="s">
        <v>60</v>
      </c>
      <c r="J147" s="3" t="s">
        <v>61</v>
      </c>
      <c r="K147" s="3">
        <v>66606</v>
      </c>
      <c r="L147" s="3" t="s">
        <v>298</v>
      </c>
      <c r="M147" s="3"/>
      <c r="N147" s="3"/>
      <c r="O147" s="3"/>
      <c r="P147" s="3" t="s">
        <v>299</v>
      </c>
      <c r="Q147" s="3" t="s">
        <v>67</v>
      </c>
      <c r="R147" s="3" t="s">
        <v>67</v>
      </c>
      <c r="S147" s="3" t="str">
        <f>"Apr 6-15"</f>
        <v>Apr 6-15</v>
      </c>
    </row>
    <row r="148" spans="1:19" ht="39" x14ac:dyDescent="0.25">
      <c r="A148" s="1">
        <v>41026</v>
      </c>
      <c r="B148" s="1">
        <v>41035</v>
      </c>
      <c r="C148" s="2">
        <f t="shared" si="2"/>
        <v>10</v>
      </c>
      <c r="D148" s="6" t="s">
        <v>3136</v>
      </c>
      <c r="E148" s="3" t="s">
        <v>3996</v>
      </c>
      <c r="F148" s="4" t="s">
        <v>58</v>
      </c>
      <c r="G148" s="3" t="s">
        <v>302</v>
      </c>
      <c r="H148" s="3"/>
      <c r="I148" s="3" t="s">
        <v>303</v>
      </c>
      <c r="J148" s="3" t="s">
        <v>61</v>
      </c>
      <c r="K148" s="3">
        <v>66502</v>
      </c>
      <c r="L148" s="3" t="s">
        <v>304</v>
      </c>
      <c r="M148" s="3"/>
      <c r="N148" s="3"/>
      <c r="O148" s="3"/>
      <c r="P148" s="3" t="s">
        <v>1718</v>
      </c>
      <c r="Q148" s="3" t="s">
        <v>67</v>
      </c>
      <c r="R148" s="3" t="s">
        <v>67</v>
      </c>
      <c r="S148" s="3" t="str">
        <f>"Apr 27-May 6"</f>
        <v>Apr 27-May 6</v>
      </c>
    </row>
    <row r="149" spans="1:19" x14ac:dyDescent="0.25">
      <c r="A149" s="1">
        <v>41131</v>
      </c>
      <c r="B149" s="1">
        <v>41140</v>
      </c>
      <c r="C149" s="2">
        <f t="shared" si="2"/>
        <v>10</v>
      </c>
      <c r="D149" s="6" t="s">
        <v>3809</v>
      </c>
      <c r="E149" s="3" t="s">
        <v>3809</v>
      </c>
      <c r="F149" s="4" t="s">
        <v>58</v>
      </c>
      <c r="G149" s="3" t="s">
        <v>297</v>
      </c>
      <c r="H149" s="3"/>
      <c r="I149" s="3" t="s">
        <v>60</v>
      </c>
      <c r="J149" s="3" t="s">
        <v>61</v>
      </c>
      <c r="K149" s="3">
        <v>66606</v>
      </c>
      <c r="L149" s="3" t="s">
        <v>298</v>
      </c>
      <c r="M149" s="3"/>
      <c r="N149" s="3"/>
      <c r="O149" s="3"/>
      <c r="P149" s="3" t="s">
        <v>299</v>
      </c>
      <c r="Q149" s="3" t="s">
        <v>67</v>
      </c>
      <c r="R149" s="3" t="s">
        <v>67</v>
      </c>
      <c r="S149" s="3" t="str">
        <f>"Aug 10-19"</f>
        <v>Aug 10-19</v>
      </c>
    </row>
    <row r="150" spans="1:19" x14ac:dyDescent="0.25">
      <c r="A150" s="1">
        <v>40837</v>
      </c>
      <c r="B150" s="1">
        <v>40845</v>
      </c>
      <c r="C150" s="2">
        <f t="shared" si="2"/>
        <v>9</v>
      </c>
      <c r="D150" s="6" t="s">
        <v>1411</v>
      </c>
      <c r="E150" s="3" t="s">
        <v>1412</v>
      </c>
      <c r="F150" s="4" t="s">
        <v>58</v>
      </c>
      <c r="G150" s="3" t="s">
        <v>350</v>
      </c>
      <c r="H150" s="3"/>
      <c r="I150" s="3" t="s">
        <v>165</v>
      </c>
      <c r="J150" s="3" t="s">
        <v>61</v>
      </c>
      <c r="K150" s="3">
        <v>66221</v>
      </c>
      <c r="L150" s="3" t="s">
        <v>351</v>
      </c>
      <c r="M150" s="3"/>
      <c r="N150" s="3"/>
      <c r="O150" s="3"/>
      <c r="P150" s="3" t="s">
        <v>352</v>
      </c>
      <c r="Q150" s="3" t="s">
        <v>67</v>
      </c>
      <c r="R150" s="3" t="s">
        <v>67</v>
      </c>
      <c r="S150" s="3" t="str">
        <f>"Oct 21-29"</f>
        <v>Oct 21-29</v>
      </c>
    </row>
    <row r="151" spans="1:19" ht="26.25" x14ac:dyDescent="0.25">
      <c r="A151" s="1">
        <v>40837</v>
      </c>
      <c r="B151" s="1">
        <v>40845</v>
      </c>
      <c r="C151" s="2">
        <f t="shared" si="2"/>
        <v>9</v>
      </c>
      <c r="D151" s="6" t="s">
        <v>1413</v>
      </c>
      <c r="E151" s="3" t="s">
        <v>1414</v>
      </c>
      <c r="F151" s="4" t="s">
        <v>58</v>
      </c>
      <c r="G151" s="3" t="s">
        <v>1415</v>
      </c>
      <c r="H151" s="3"/>
      <c r="I151" s="3" t="s">
        <v>210</v>
      </c>
      <c r="J151" s="3" t="s">
        <v>61</v>
      </c>
      <c r="K151" s="3">
        <v>66002</v>
      </c>
      <c r="L151" s="3" t="s">
        <v>1416</v>
      </c>
      <c r="M151" s="3"/>
      <c r="N151" s="3"/>
      <c r="O151" s="3" t="s">
        <v>1417</v>
      </c>
      <c r="P151" s="3" t="s">
        <v>1418</v>
      </c>
      <c r="Q151" s="3"/>
      <c r="R151" s="3" t="s">
        <v>67</v>
      </c>
      <c r="S151" s="3" t="str">
        <f>"Oct 21-29"</f>
        <v>Oct 21-29</v>
      </c>
    </row>
    <row r="152" spans="1:19" ht="26.25" x14ac:dyDescent="0.25">
      <c r="A152" s="1">
        <v>40837</v>
      </c>
      <c r="B152" s="1">
        <v>40845</v>
      </c>
      <c r="C152" s="2">
        <f t="shared" si="2"/>
        <v>9</v>
      </c>
      <c r="D152" s="6" t="s">
        <v>1419</v>
      </c>
      <c r="E152" s="3" t="s">
        <v>1420</v>
      </c>
      <c r="F152" s="4" t="s">
        <v>58</v>
      </c>
      <c r="G152" s="3" t="s">
        <v>1421</v>
      </c>
      <c r="H152" s="3"/>
      <c r="I152" s="3" t="s">
        <v>518</v>
      </c>
      <c r="J152" s="3" t="s">
        <v>61</v>
      </c>
      <c r="K152" s="3">
        <v>66006</v>
      </c>
      <c r="L152" s="3" t="s">
        <v>1422</v>
      </c>
      <c r="M152" s="3"/>
      <c r="N152" s="3"/>
      <c r="O152" s="3" t="s">
        <v>1423</v>
      </c>
      <c r="P152" s="3" t="s">
        <v>1424</v>
      </c>
      <c r="Q152" s="3"/>
      <c r="R152" s="3" t="s">
        <v>67</v>
      </c>
      <c r="S152" s="3" t="str">
        <f>"Oct 21-29"</f>
        <v>Oct 21-29</v>
      </c>
    </row>
    <row r="153" spans="1:19" x14ac:dyDescent="0.25">
      <c r="A153" s="1">
        <v>40872</v>
      </c>
      <c r="B153" s="1">
        <v>40880</v>
      </c>
      <c r="C153" s="2">
        <f t="shared" si="2"/>
        <v>9</v>
      </c>
      <c r="D153" s="6" t="s">
        <v>2109</v>
      </c>
      <c r="E153" s="3" t="s">
        <v>2110</v>
      </c>
      <c r="F153" s="4" t="s">
        <v>58</v>
      </c>
      <c r="G153" s="3" t="s">
        <v>663</v>
      </c>
      <c r="H153" s="3"/>
      <c r="I153" s="3" t="s">
        <v>165</v>
      </c>
      <c r="J153" s="3" t="s">
        <v>61</v>
      </c>
      <c r="K153" s="3">
        <v>66085</v>
      </c>
      <c r="L153" s="3" t="s">
        <v>166</v>
      </c>
      <c r="M153" s="3"/>
      <c r="N153" s="3"/>
      <c r="O153" s="3"/>
      <c r="P153" s="3" t="s">
        <v>664</v>
      </c>
      <c r="Q153" s="3" t="s">
        <v>67</v>
      </c>
      <c r="R153" s="3" t="s">
        <v>67</v>
      </c>
      <c r="S153" s="3" t="str">
        <f>"Nov 25-Dec 3"</f>
        <v>Nov 25-Dec 3</v>
      </c>
    </row>
    <row r="154" spans="1:19" ht="39" x14ac:dyDescent="0.25">
      <c r="A154" s="1">
        <v>40892</v>
      </c>
      <c r="B154" s="1">
        <v>40900</v>
      </c>
      <c r="C154" s="2">
        <f t="shared" si="2"/>
        <v>9</v>
      </c>
      <c r="D154" s="6" t="s">
        <v>2636</v>
      </c>
      <c r="E154" s="3" t="s">
        <v>2637</v>
      </c>
      <c r="F154" s="4" t="s">
        <v>58</v>
      </c>
      <c r="G154" s="3" t="s">
        <v>2278</v>
      </c>
      <c r="H154" s="3"/>
      <c r="I154" s="3" t="s">
        <v>797</v>
      </c>
      <c r="J154" s="3" t="s">
        <v>61</v>
      </c>
      <c r="K154" s="3">
        <v>66701</v>
      </c>
      <c r="L154" s="3" t="s">
        <v>2638</v>
      </c>
      <c r="M154" s="3" t="s">
        <v>2639</v>
      </c>
      <c r="N154" s="3" t="s">
        <v>2640</v>
      </c>
      <c r="O154" s="3" t="s">
        <v>2641</v>
      </c>
      <c r="P154" s="3" t="s">
        <v>2642</v>
      </c>
      <c r="Q154" s="3"/>
      <c r="R154" s="3" t="s">
        <v>67</v>
      </c>
      <c r="S154" s="3" t="str">
        <f>"Dec 15-23"</f>
        <v>Dec 15-23</v>
      </c>
    </row>
    <row r="155" spans="1:19" x14ac:dyDescent="0.25">
      <c r="A155" s="1">
        <v>41082</v>
      </c>
      <c r="B155" s="1">
        <v>41090</v>
      </c>
      <c r="C155" s="2">
        <f t="shared" si="2"/>
        <v>9</v>
      </c>
      <c r="D155" s="6" t="s">
        <v>3502</v>
      </c>
      <c r="E155" s="3" t="s">
        <v>3503</v>
      </c>
      <c r="F155" s="4" t="s">
        <v>58</v>
      </c>
      <c r="G155" s="3" t="s">
        <v>297</v>
      </c>
      <c r="H155" s="3"/>
      <c r="I155" s="3" t="s">
        <v>60</v>
      </c>
      <c r="J155" s="3" t="s">
        <v>61</v>
      </c>
      <c r="K155" s="3">
        <v>66606</v>
      </c>
      <c r="L155" s="3" t="s">
        <v>298</v>
      </c>
      <c r="M155" s="3"/>
      <c r="N155" s="3"/>
      <c r="O155" s="3"/>
      <c r="P155" s="3" t="s">
        <v>299</v>
      </c>
      <c r="Q155" s="3" t="s">
        <v>67</v>
      </c>
      <c r="R155" s="3" t="s">
        <v>67</v>
      </c>
      <c r="S155" s="3" t="str">
        <f>"Jun 22-30"</f>
        <v>Jun 22-30</v>
      </c>
    </row>
    <row r="156" spans="1:19" ht="26.25" x14ac:dyDescent="0.25">
      <c r="A156" s="1">
        <v>41110</v>
      </c>
      <c r="B156" s="1">
        <v>41118</v>
      </c>
      <c r="C156" s="2">
        <f t="shared" si="2"/>
        <v>9</v>
      </c>
      <c r="D156" s="6" t="s">
        <v>3680</v>
      </c>
      <c r="E156" s="3" t="s">
        <v>3681</v>
      </c>
      <c r="F156" s="4" t="s">
        <v>58</v>
      </c>
      <c r="G156" s="3" t="s">
        <v>3682</v>
      </c>
      <c r="H156" s="3" t="s">
        <v>1123</v>
      </c>
      <c r="I156" s="3" t="s">
        <v>978</v>
      </c>
      <c r="J156" s="3" t="s">
        <v>61</v>
      </c>
      <c r="K156" s="3">
        <v>67456</v>
      </c>
      <c r="L156" s="3" t="s">
        <v>979</v>
      </c>
      <c r="M156" s="3" t="s">
        <v>980</v>
      </c>
      <c r="N156" s="3"/>
      <c r="O156" s="3" t="s">
        <v>981</v>
      </c>
      <c r="P156" s="3" t="s">
        <v>3683</v>
      </c>
      <c r="Q156" s="3" t="s">
        <v>67</v>
      </c>
      <c r="R156" s="3" t="s">
        <v>67</v>
      </c>
      <c r="S156" s="3" t="str">
        <f>"Jul 20-28"</f>
        <v>Jul 20-28</v>
      </c>
    </row>
    <row r="157" spans="1:19" ht="39" x14ac:dyDescent="0.25">
      <c r="A157" s="1">
        <v>41134</v>
      </c>
      <c r="B157" s="1">
        <v>41142</v>
      </c>
      <c r="C157" s="2">
        <f t="shared" si="2"/>
        <v>9</v>
      </c>
      <c r="D157" s="6" t="s">
        <v>3816</v>
      </c>
      <c r="E157" s="3" t="s">
        <v>3817</v>
      </c>
      <c r="F157" s="4" t="s">
        <v>58</v>
      </c>
      <c r="G157" s="3" t="s">
        <v>3818</v>
      </c>
      <c r="H157" s="3"/>
      <c r="I157" s="3" t="s">
        <v>105</v>
      </c>
      <c r="J157" s="3" t="s">
        <v>61</v>
      </c>
      <c r="K157" s="3">
        <v>66044</v>
      </c>
      <c r="L157" s="3" t="s">
        <v>3819</v>
      </c>
      <c r="M157" s="3"/>
      <c r="N157" s="3"/>
      <c r="O157" s="3" t="s">
        <v>3751</v>
      </c>
      <c r="P157" s="3" t="s">
        <v>3820</v>
      </c>
      <c r="Q157" s="3" t="s">
        <v>67</v>
      </c>
      <c r="R157" s="3" t="s">
        <v>67</v>
      </c>
      <c r="S157" s="3" t="str">
        <f>"Aug 13-21"</f>
        <v>Aug 13-21</v>
      </c>
    </row>
    <row r="158" spans="1:19" ht="26.25" x14ac:dyDescent="0.25">
      <c r="A158" s="1">
        <v>40817</v>
      </c>
      <c r="B158" s="1">
        <v>40823</v>
      </c>
      <c r="C158" s="2">
        <f t="shared" si="2"/>
        <v>7</v>
      </c>
      <c r="D158" s="6" t="s">
        <v>697</v>
      </c>
      <c r="E158" s="3" t="s">
        <v>697</v>
      </c>
      <c r="F158" s="4" t="s">
        <v>58</v>
      </c>
      <c r="G158" s="3" t="s">
        <v>698</v>
      </c>
      <c r="H158" s="3" t="s">
        <v>699</v>
      </c>
      <c r="I158" s="3" t="s">
        <v>193</v>
      </c>
      <c r="J158" s="3" t="s">
        <v>61</v>
      </c>
      <c r="K158" s="3">
        <v>67530</v>
      </c>
      <c r="L158" s="3" t="s">
        <v>700</v>
      </c>
      <c r="M158" s="3"/>
      <c r="N158" s="3"/>
      <c r="O158" s="3" t="s">
        <v>701</v>
      </c>
      <c r="P158" s="3" t="s">
        <v>702</v>
      </c>
      <c r="Q158" s="3"/>
      <c r="R158" s="3"/>
      <c r="S158" s="3" t="str">
        <f>"Oct 1-7"</f>
        <v>Oct 1-7</v>
      </c>
    </row>
    <row r="159" spans="1:19" ht="26.25" x14ac:dyDescent="0.25">
      <c r="A159" s="1">
        <v>41122</v>
      </c>
      <c r="B159" s="1">
        <v>41128</v>
      </c>
      <c r="C159" s="2">
        <f t="shared" si="2"/>
        <v>7</v>
      </c>
      <c r="D159" s="6" t="s">
        <v>3758</v>
      </c>
      <c r="E159" s="3" t="s">
        <v>3759</v>
      </c>
      <c r="F159" s="4" t="s">
        <v>58</v>
      </c>
      <c r="G159" s="3" t="s">
        <v>3760</v>
      </c>
      <c r="H159" s="3"/>
      <c r="I159" s="3" t="s">
        <v>2649</v>
      </c>
      <c r="J159" s="3" t="s">
        <v>61</v>
      </c>
      <c r="K159" s="3">
        <v>67846</v>
      </c>
      <c r="L159" s="3" t="s">
        <v>3761</v>
      </c>
      <c r="M159" s="3"/>
      <c r="N159" s="3"/>
      <c r="O159" s="3"/>
      <c r="P159" s="3"/>
      <c r="Q159" s="3" t="s">
        <v>67</v>
      </c>
      <c r="R159" s="3"/>
      <c r="S159" s="3" t="str">
        <f>"Aug 1-7"</f>
        <v>Aug 1-7</v>
      </c>
    </row>
    <row r="160" spans="1:19" ht="26.25" x14ac:dyDescent="0.25">
      <c r="A160" s="1">
        <v>41122</v>
      </c>
      <c r="B160" s="1">
        <v>41128</v>
      </c>
      <c r="C160" s="2">
        <f t="shared" si="2"/>
        <v>7</v>
      </c>
      <c r="D160" s="6" t="s">
        <v>3762</v>
      </c>
      <c r="E160" s="3" t="s">
        <v>3763</v>
      </c>
      <c r="F160" s="4" t="s">
        <v>58</v>
      </c>
      <c r="G160" s="3" t="s">
        <v>3764</v>
      </c>
      <c r="H160" s="3" t="s">
        <v>3765</v>
      </c>
      <c r="I160" s="3" t="s">
        <v>2649</v>
      </c>
      <c r="J160" s="3" t="s">
        <v>61</v>
      </c>
      <c r="K160" s="3">
        <v>67846</v>
      </c>
      <c r="L160" s="3" t="s">
        <v>3761</v>
      </c>
      <c r="M160" s="3"/>
      <c r="N160" s="3"/>
      <c r="O160" s="3"/>
      <c r="P160" s="3"/>
      <c r="Q160" s="3" t="s">
        <v>67</v>
      </c>
      <c r="R160" s="3"/>
      <c r="S160" s="3" t="str">
        <f>"Aug 1-7"</f>
        <v>Aug 1-7</v>
      </c>
    </row>
    <row r="161" spans="1:19" ht="39" x14ac:dyDescent="0.25">
      <c r="A161" s="1">
        <v>40820</v>
      </c>
      <c r="B161" s="1">
        <v>40825</v>
      </c>
      <c r="C161" s="2">
        <f t="shared" si="2"/>
        <v>6</v>
      </c>
      <c r="D161" s="6" t="s">
        <v>785</v>
      </c>
      <c r="E161" s="3" t="s">
        <v>786</v>
      </c>
      <c r="F161" s="4" t="s">
        <v>58</v>
      </c>
      <c r="G161" s="3" t="s">
        <v>787</v>
      </c>
      <c r="H161" s="3" t="s">
        <v>788</v>
      </c>
      <c r="I161" s="3" t="s">
        <v>789</v>
      </c>
      <c r="J161" s="3" t="s">
        <v>61</v>
      </c>
      <c r="K161" s="3">
        <v>67834</v>
      </c>
      <c r="L161" s="3" t="s">
        <v>790</v>
      </c>
      <c r="M161" s="3"/>
      <c r="N161" s="3"/>
      <c r="O161" s="3" t="s">
        <v>791</v>
      </c>
      <c r="P161" s="3" t="s">
        <v>792</v>
      </c>
      <c r="Q161" s="3"/>
      <c r="R161" s="3" t="s">
        <v>67</v>
      </c>
      <c r="S161" s="3" t="str">
        <f>"Oct 4-9"</f>
        <v>Oct 4-9</v>
      </c>
    </row>
    <row r="162" spans="1:19" ht="26.25" x14ac:dyDescent="0.25">
      <c r="A162" s="1">
        <v>40820</v>
      </c>
      <c r="B162" s="1">
        <v>40825</v>
      </c>
      <c r="C162" s="2">
        <f t="shared" si="2"/>
        <v>6</v>
      </c>
      <c r="D162" s="6" t="s">
        <v>779</v>
      </c>
      <c r="E162" s="3" t="s">
        <v>780</v>
      </c>
      <c r="F162" s="4" t="s">
        <v>58</v>
      </c>
      <c r="G162" s="3" t="s">
        <v>781</v>
      </c>
      <c r="H162" s="3" t="s">
        <v>782</v>
      </c>
      <c r="I162" s="3" t="s">
        <v>236</v>
      </c>
      <c r="J162" s="3" t="s">
        <v>61</v>
      </c>
      <c r="K162" s="3">
        <v>67005</v>
      </c>
      <c r="L162" s="3" t="s">
        <v>783</v>
      </c>
      <c r="M162" s="3"/>
      <c r="N162" s="3"/>
      <c r="O162" s="3" t="s">
        <v>239</v>
      </c>
      <c r="P162" s="3" t="s">
        <v>784</v>
      </c>
      <c r="Q162" s="3" t="s">
        <v>67</v>
      </c>
      <c r="R162" s="3" t="s">
        <v>67</v>
      </c>
      <c r="S162" s="3" t="str">
        <f>"Oct 4-9"</f>
        <v>Oct 4-9</v>
      </c>
    </row>
    <row r="163" spans="1:19" ht="39" x14ac:dyDescent="0.25">
      <c r="A163" s="1">
        <v>40826</v>
      </c>
      <c r="B163" s="1">
        <v>40831</v>
      </c>
      <c r="C163" s="2">
        <f t="shared" si="2"/>
        <v>6</v>
      </c>
      <c r="D163" s="6" t="s">
        <v>1137</v>
      </c>
      <c r="E163" s="3" t="s">
        <v>1138</v>
      </c>
      <c r="F163" s="4" t="s">
        <v>58</v>
      </c>
      <c r="G163" s="3" t="s">
        <v>1139</v>
      </c>
      <c r="H163" s="3" t="s">
        <v>1140</v>
      </c>
      <c r="I163" s="3" t="s">
        <v>227</v>
      </c>
      <c r="J163" s="3" t="s">
        <v>61</v>
      </c>
      <c r="K163" s="3">
        <v>67410</v>
      </c>
      <c r="L163" s="3" t="s">
        <v>1141</v>
      </c>
      <c r="M163" s="3"/>
      <c r="N163" s="3"/>
      <c r="O163" s="3"/>
      <c r="P163" s="3" t="s">
        <v>1142</v>
      </c>
      <c r="Q163" s="3"/>
      <c r="R163" s="3"/>
      <c r="S163" s="3" t="str">
        <f>"Oct 10-15"</f>
        <v>Oct 10-15</v>
      </c>
    </row>
    <row r="164" spans="1:19" ht="26.25" x14ac:dyDescent="0.25">
      <c r="A164" s="1">
        <v>40988</v>
      </c>
      <c r="B164" s="1">
        <v>40992</v>
      </c>
      <c r="C164" s="2">
        <f t="shared" si="2"/>
        <v>5</v>
      </c>
      <c r="D164" s="6" t="s">
        <v>3004</v>
      </c>
      <c r="E164" s="3" t="s">
        <v>3005</v>
      </c>
      <c r="F164" s="4" t="s">
        <v>58</v>
      </c>
      <c r="G164" s="3" t="s">
        <v>3006</v>
      </c>
      <c r="H164" s="3" t="s">
        <v>2940</v>
      </c>
      <c r="I164" s="3" t="s">
        <v>85</v>
      </c>
      <c r="J164" s="3" t="s">
        <v>61</v>
      </c>
      <c r="K164" s="3">
        <v>67501</v>
      </c>
      <c r="L164" s="3" t="s">
        <v>3007</v>
      </c>
      <c r="M164" s="3"/>
      <c r="N164" s="3"/>
      <c r="O164" s="3" t="s">
        <v>3008</v>
      </c>
      <c r="P164" s="3" t="s">
        <v>3009</v>
      </c>
      <c r="Q164" s="3" t="s">
        <v>67</v>
      </c>
      <c r="R164" s="3" t="s">
        <v>67</v>
      </c>
      <c r="S164" s="3" t="str">
        <f>"Mar 20-24"</f>
        <v>Mar 20-24</v>
      </c>
    </row>
    <row r="165" spans="1:19" ht="26.25" x14ac:dyDescent="0.25">
      <c r="A165" s="1">
        <v>41009</v>
      </c>
      <c r="B165" s="1">
        <v>41013</v>
      </c>
      <c r="C165" s="2">
        <f t="shared" si="2"/>
        <v>5</v>
      </c>
      <c r="D165" s="6" t="s">
        <v>3045</v>
      </c>
      <c r="E165" s="3" t="s">
        <v>3046</v>
      </c>
      <c r="F165" s="4" t="s">
        <v>58</v>
      </c>
      <c r="G165" s="3" t="s">
        <v>1348</v>
      </c>
      <c r="H165" s="3" t="s">
        <v>2007</v>
      </c>
      <c r="I165" s="3" t="s">
        <v>105</v>
      </c>
      <c r="J165" s="3" t="s">
        <v>61</v>
      </c>
      <c r="K165" s="3">
        <v>66046</v>
      </c>
      <c r="L165" s="3" t="s">
        <v>1349</v>
      </c>
      <c r="M165" s="3"/>
      <c r="N165" s="3"/>
      <c r="O165" s="3"/>
      <c r="P165" s="3"/>
      <c r="Q165" s="3" t="s">
        <v>67</v>
      </c>
      <c r="R165" s="3" t="s">
        <v>67</v>
      </c>
      <c r="S165" s="3" t="str">
        <f>"Apr 10-14"</f>
        <v>Apr 10-14</v>
      </c>
    </row>
    <row r="166" spans="1:19" ht="26.25" x14ac:dyDescent="0.25">
      <c r="A166" s="1">
        <v>41125</v>
      </c>
      <c r="B166" s="1">
        <v>41129</v>
      </c>
      <c r="C166" s="2">
        <f t="shared" si="2"/>
        <v>5</v>
      </c>
      <c r="D166" s="6" t="s">
        <v>3758</v>
      </c>
      <c r="E166" s="3" t="s">
        <v>3791</v>
      </c>
      <c r="F166" s="4" t="s">
        <v>58</v>
      </c>
      <c r="G166" s="3" t="s">
        <v>3792</v>
      </c>
      <c r="H166" s="3" t="s">
        <v>3793</v>
      </c>
      <c r="I166" s="3" t="s">
        <v>2649</v>
      </c>
      <c r="J166" s="3" t="s">
        <v>61</v>
      </c>
      <c r="K166" s="3">
        <v>67846</v>
      </c>
      <c r="L166" s="3" t="s">
        <v>3761</v>
      </c>
      <c r="M166" s="3"/>
      <c r="N166" s="3"/>
      <c r="O166" s="3"/>
      <c r="P166" s="3"/>
      <c r="Q166" s="3" t="s">
        <v>67</v>
      </c>
      <c r="R166" s="3" t="s">
        <v>67</v>
      </c>
      <c r="S166" s="3" t="str">
        <f>"Aug 4-8"</f>
        <v>Aug 4-8</v>
      </c>
    </row>
    <row r="167" spans="1:19" ht="26.25" x14ac:dyDescent="0.25">
      <c r="A167" s="1">
        <v>40815</v>
      </c>
      <c r="B167" s="1">
        <v>40818</v>
      </c>
      <c r="C167" s="2">
        <f t="shared" si="2"/>
        <v>4</v>
      </c>
      <c r="D167" s="6" t="s">
        <v>426</v>
      </c>
      <c r="E167" s="3" t="s">
        <v>427</v>
      </c>
      <c r="F167" s="4" t="s">
        <v>58</v>
      </c>
      <c r="G167" s="3" t="s">
        <v>428</v>
      </c>
      <c r="H167" s="3" t="s">
        <v>429</v>
      </c>
      <c r="I167" s="3" t="s">
        <v>85</v>
      </c>
      <c r="J167" s="3" t="s">
        <v>61</v>
      </c>
      <c r="K167" s="3">
        <v>67501</v>
      </c>
      <c r="L167" s="3" t="s">
        <v>430</v>
      </c>
      <c r="M167" s="3"/>
      <c r="N167" s="3"/>
      <c r="O167" s="3" t="s">
        <v>431</v>
      </c>
      <c r="P167" s="3" t="s">
        <v>432</v>
      </c>
      <c r="Q167" s="3" t="s">
        <v>67</v>
      </c>
      <c r="R167" s="3" t="s">
        <v>67</v>
      </c>
      <c r="S167" s="3" t="str">
        <f>"Sep 29-Oct 2"</f>
        <v>Sep 29-Oct 2</v>
      </c>
    </row>
    <row r="168" spans="1:19" ht="39" x14ac:dyDescent="0.25">
      <c r="A168" s="1">
        <v>40821</v>
      </c>
      <c r="B168" s="1">
        <v>40824</v>
      </c>
      <c r="C168" s="2">
        <f t="shared" si="2"/>
        <v>4</v>
      </c>
      <c r="D168" s="6" t="s">
        <v>793</v>
      </c>
      <c r="E168" s="3" t="s">
        <v>794</v>
      </c>
      <c r="F168" s="4" t="s">
        <v>58</v>
      </c>
      <c r="G168" s="3" t="s">
        <v>795</v>
      </c>
      <c r="H168" s="3" t="s">
        <v>796</v>
      </c>
      <c r="I168" s="3" t="s">
        <v>797</v>
      </c>
      <c r="J168" s="3" t="s">
        <v>61</v>
      </c>
      <c r="K168" s="3">
        <v>66701</v>
      </c>
      <c r="L168" s="3" t="s">
        <v>798</v>
      </c>
      <c r="M168" s="3" t="s">
        <v>799</v>
      </c>
      <c r="N168" s="3"/>
      <c r="O168" s="3" t="s">
        <v>800</v>
      </c>
      <c r="P168" s="3" t="s">
        <v>801</v>
      </c>
      <c r="Q168" s="3" t="s">
        <v>67</v>
      </c>
      <c r="R168" s="3" t="s">
        <v>67</v>
      </c>
      <c r="S168" s="3" t="str">
        <f>"Oct 5-8"</f>
        <v>Oct 5-8</v>
      </c>
    </row>
    <row r="169" spans="1:19" ht="26.25" x14ac:dyDescent="0.25">
      <c r="A169" s="1">
        <v>40822</v>
      </c>
      <c r="B169" s="1">
        <v>40825</v>
      </c>
      <c r="C169" s="2">
        <f t="shared" si="2"/>
        <v>4</v>
      </c>
      <c r="D169" s="6" t="s">
        <v>828</v>
      </c>
      <c r="E169" s="3" t="s">
        <v>829</v>
      </c>
      <c r="F169" s="4" t="s">
        <v>58</v>
      </c>
      <c r="G169" s="3" t="s">
        <v>830</v>
      </c>
      <c r="H169" s="3" t="s">
        <v>831</v>
      </c>
      <c r="I169" s="3" t="s">
        <v>193</v>
      </c>
      <c r="J169" s="3" t="s">
        <v>61</v>
      </c>
      <c r="K169" s="3">
        <v>67530</v>
      </c>
      <c r="L169" s="3" t="s">
        <v>832</v>
      </c>
      <c r="M169" s="3"/>
      <c r="N169" s="3"/>
      <c r="O169" s="3" t="s">
        <v>833</v>
      </c>
      <c r="P169" s="3" t="s">
        <v>834</v>
      </c>
      <c r="Q169" s="3" t="s">
        <v>67</v>
      </c>
      <c r="R169" s="3" t="s">
        <v>67</v>
      </c>
      <c r="S169" s="3" t="str">
        <f>"Oct 6-9"</f>
        <v>Oct 6-9</v>
      </c>
    </row>
    <row r="170" spans="1:19" ht="39" x14ac:dyDescent="0.25">
      <c r="A170" s="1">
        <v>40828</v>
      </c>
      <c r="B170" s="1">
        <v>40831</v>
      </c>
      <c r="C170" s="2">
        <f t="shared" si="2"/>
        <v>4</v>
      </c>
      <c r="D170" s="6" t="s">
        <v>1166</v>
      </c>
      <c r="E170" s="3" t="s">
        <v>1167</v>
      </c>
      <c r="F170" s="4" t="s">
        <v>58</v>
      </c>
      <c r="G170" s="3" t="s">
        <v>1168</v>
      </c>
      <c r="H170" s="3" t="s">
        <v>1169</v>
      </c>
      <c r="I170" s="3" t="s">
        <v>236</v>
      </c>
      <c r="J170" s="3" t="s">
        <v>61</v>
      </c>
      <c r="K170" s="3">
        <v>67005</v>
      </c>
      <c r="L170" s="3" t="s">
        <v>1170</v>
      </c>
      <c r="M170" s="3"/>
      <c r="N170" s="3"/>
      <c r="O170" s="3" t="s">
        <v>239</v>
      </c>
      <c r="P170" s="3" t="s">
        <v>240</v>
      </c>
      <c r="Q170" s="3" t="s">
        <v>67</v>
      </c>
      <c r="R170" s="3" t="s">
        <v>67</v>
      </c>
      <c r="S170" s="3" t="str">
        <f>"Oct 12-15"</f>
        <v>Oct 12-15</v>
      </c>
    </row>
    <row r="171" spans="1:19" ht="26.25" x14ac:dyDescent="0.25">
      <c r="A171" s="1">
        <v>40836</v>
      </c>
      <c r="B171" s="1">
        <v>40839</v>
      </c>
      <c r="C171" s="2">
        <f t="shared" si="2"/>
        <v>4</v>
      </c>
      <c r="D171" s="6" t="s">
        <v>1375</v>
      </c>
      <c r="E171" s="3" t="s">
        <v>1376</v>
      </c>
      <c r="F171" s="4" t="s">
        <v>58</v>
      </c>
      <c r="G171" s="3" t="s">
        <v>1377</v>
      </c>
      <c r="H171" s="3"/>
      <c r="I171" s="3" t="s">
        <v>71</v>
      </c>
      <c r="J171" s="3" t="s">
        <v>61</v>
      </c>
      <c r="K171" s="3">
        <v>67202</v>
      </c>
      <c r="L171" s="3" t="s">
        <v>1036</v>
      </c>
      <c r="M171" s="3"/>
      <c r="N171" s="3"/>
      <c r="O171" s="3"/>
      <c r="P171" s="3" t="s">
        <v>1378</v>
      </c>
      <c r="Q171" s="3" t="s">
        <v>67</v>
      </c>
      <c r="R171" s="3" t="s">
        <v>67</v>
      </c>
      <c r="S171" s="3" t="str">
        <f>"Oct 20-23"</f>
        <v>Oct 20-23</v>
      </c>
    </row>
    <row r="172" spans="1:19" ht="26.25" x14ac:dyDescent="0.25">
      <c r="A172" s="1">
        <v>40843</v>
      </c>
      <c r="B172" s="1">
        <v>40846</v>
      </c>
      <c r="C172" s="2">
        <f t="shared" si="2"/>
        <v>4</v>
      </c>
      <c r="D172" s="6" t="s">
        <v>1523</v>
      </c>
      <c r="E172" s="3" t="s">
        <v>1524</v>
      </c>
      <c r="F172" s="4" t="s">
        <v>58</v>
      </c>
      <c r="G172" s="3" t="s">
        <v>1525</v>
      </c>
      <c r="H172" s="3"/>
      <c r="I172" s="3" t="s">
        <v>85</v>
      </c>
      <c r="J172" s="3" t="s">
        <v>61</v>
      </c>
      <c r="K172" s="3">
        <v>67502</v>
      </c>
      <c r="L172" s="3" t="s">
        <v>1526</v>
      </c>
      <c r="M172" s="3"/>
      <c r="N172" s="3"/>
      <c r="O172" s="3"/>
      <c r="P172" s="3"/>
      <c r="Q172" s="3" t="s">
        <v>67</v>
      </c>
      <c r="R172" s="3"/>
      <c r="S172" s="3" t="str">
        <f>"Oct 27-30"</f>
        <v>Oct 27-30</v>
      </c>
    </row>
    <row r="173" spans="1:19" ht="26.25" x14ac:dyDescent="0.25">
      <c r="A173" s="1">
        <v>40844</v>
      </c>
      <c r="B173" s="1">
        <v>40847</v>
      </c>
      <c r="C173" s="2">
        <f t="shared" si="2"/>
        <v>4</v>
      </c>
      <c r="D173" s="6" t="s">
        <v>1579</v>
      </c>
      <c r="E173" s="3" t="s">
        <v>1580</v>
      </c>
      <c r="F173" s="4" t="s">
        <v>58</v>
      </c>
      <c r="G173" s="3" t="s">
        <v>1581</v>
      </c>
      <c r="H173" s="3" t="s">
        <v>1582</v>
      </c>
      <c r="I173" s="3" t="s">
        <v>105</v>
      </c>
      <c r="J173" s="3" t="s">
        <v>61</v>
      </c>
      <c r="K173" s="3">
        <v>66044</v>
      </c>
      <c r="L173" s="3" t="s">
        <v>1583</v>
      </c>
      <c r="M173" s="3"/>
      <c r="N173" s="3"/>
      <c r="O173" s="3"/>
      <c r="P173" s="3"/>
      <c r="Q173" s="3" t="s">
        <v>67</v>
      </c>
      <c r="R173" s="3"/>
      <c r="S173" s="3" t="str">
        <f>"Oct 28-31"</f>
        <v>Oct 28-31</v>
      </c>
    </row>
    <row r="174" spans="1:19" ht="26.25" x14ac:dyDescent="0.25">
      <c r="A174" s="1">
        <v>40850</v>
      </c>
      <c r="B174" s="1">
        <v>40853</v>
      </c>
      <c r="C174" s="2">
        <f t="shared" si="2"/>
        <v>4</v>
      </c>
      <c r="D174" s="6" t="s">
        <v>1690</v>
      </c>
      <c r="E174" s="3" t="s">
        <v>1691</v>
      </c>
      <c r="F174" s="4" t="s">
        <v>58</v>
      </c>
      <c r="G174" s="3" t="s">
        <v>1692</v>
      </c>
      <c r="H174" s="3" t="s">
        <v>1693</v>
      </c>
      <c r="I174" s="3" t="s">
        <v>227</v>
      </c>
      <c r="J174" s="3" t="s">
        <v>61</v>
      </c>
      <c r="K174" s="3">
        <v>67410</v>
      </c>
      <c r="L174" s="3" t="s">
        <v>1629</v>
      </c>
      <c r="M174" s="3" t="s">
        <v>1630</v>
      </c>
      <c r="N174" s="3"/>
      <c r="O174" s="3" t="s">
        <v>1631</v>
      </c>
      <c r="P174" s="3" t="s">
        <v>1632</v>
      </c>
      <c r="Q174" s="3"/>
      <c r="R174" s="3"/>
      <c r="S174" s="3" t="str">
        <f>"Nov 3-6"</f>
        <v>Nov 3-6</v>
      </c>
    </row>
    <row r="175" spans="1:19" ht="39" x14ac:dyDescent="0.25">
      <c r="A175" s="1">
        <v>40864</v>
      </c>
      <c r="B175" s="1">
        <v>40867</v>
      </c>
      <c r="C175" s="2">
        <f t="shared" si="2"/>
        <v>4</v>
      </c>
      <c r="D175" s="6" t="s">
        <v>1976</v>
      </c>
      <c r="E175" s="3" t="s">
        <v>1977</v>
      </c>
      <c r="F175" s="4" t="s">
        <v>58</v>
      </c>
      <c r="G175" s="3" t="s">
        <v>428</v>
      </c>
      <c r="H175" s="3" t="s">
        <v>429</v>
      </c>
      <c r="I175" s="3" t="s">
        <v>85</v>
      </c>
      <c r="J175" s="3" t="s">
        <v>61</v>
      </c>
      <c r="K175" s="3">
        <v>67501</v>
      </c>
      <c r="L175" s="3" t="s">
        <v>430</v>
      </c>
      <c r="M175" s="3"/>
      <c r="N175" s="3"/>
      <c r="O175" s="3" t="s">
        <v>431</v>
      </c>
      <c r="P175" s="3" t="s">
        <v>432</v>
      </c>
      <c r="Q175" s="3" t="s">
        <v>67</v>
      </c>
      <c r="R175" s="3" t="s">
        <v>67</v>
      </c>
      <c r="S175" s="3" t="str">
        <f>"Nov 17-20"</f>
        <v>Nov 17-20</v>
      </c>
    </row>
    <row r="176" spans="1:19" ht="26.25" x14ac:dyDescent="0.25">
      <c r="A176" s="1">
        <v>40875</v>
      </c>
      <c r="B176" s="1">
        <v>40878</v>
      </c>
      <c r="C176" s="2">
        <f t="shared" si="2"/>
        <v>4</v>
      </c>
      <c r="D176" s="6" t="s">
        <v>2228</v>
      </c>
      <c r="E176" s="3" t="s">
        <v>2229</v>
      </c>
      <c r="F176" s="4" t="s">
        <v>58</v>
      </c>
      <c r="G176" s="3" t="s">
        <v>1207</v>
      </c>
      <c r="H176" s="3" t="s">
        <v>2230</v>
      </c>
      <c r="I176" s="3" t="s">
        <v>105</v>
      </c>
      <c r="J176" s="3" t="s">
        <v>61</v>
      </c>
      <c r="K176" s="3">
        <v>66044</v>
      </c>
      <c r="L176" s="3" t="s">
        <v>2231</v>
      </c>
      <c r="M176" s="3"/>
      <c r="N176" s="3"/>
      <c r="O176" s="3"/>
      <c r="P176" s="3"/>
      <c r="Q176" s="3" t="s">
        <v>67</v>
      </c>
      <c r="R176" s="3" t="s">
        <v>67</v>
      </c>
      <c r="S176" s="3" t="str">
        <f>"Nov 28-Dec 1"</f>
        <v>Nov 28-Dec 1</v>
      </c>
    </row>
    <row r="177" spans="1:19" ht="39" x14ac:dyDescent="0.25">
      <c r="A177" s="1">
        <v>40875</v>
      </c>
      <c r="B177" s="1">
        <v>40878</v>
      </c>
      <c r="C177" s="2">
        <f t="shared" si="2"/>
        <v>4</v>
      </c>
      <c r="D177" s="6" t="s">
        <v>2216</v>
      </c>
      <c r="E177" s="3" t="s">
        <v>2232</v>
      </c>
      <c r="F177" s="4" t="s">
        <v>58</v>
      </c>
      <c r="G177" s="3" t="s">
        <v>2230</v>
      </c>
      <c r="H177" s="3" t="s">
        <v>1207</v>
      </c>
      <c r="I177" s="3" t="s">
        <v>105</v>
      </c>
      <c r="J177" s="3" t="s">
        <v>61</v>
      </c>
      <c r="K177" s="3">
        <v>66044</v>
      </c>
      <c r="L177" s="3" t="s">
        <v>2231</v>
      </c>
      <c r="M177" s="3"/>
      <c r="N177" s="3"/>
      <c r="O177" s="3"/>
      <c r="P177" s="3"/>
      <c r="Q177" s="3" t="s">
        <v>67</v>
      </c>
      <c r="R177" s="3" t="s">
        <v>67</v>
      </c>
      <c r="S177" s="3" t="str">
        <f>"Nov 28-Dec 1"</f>
        <v>Nov 28-Dec 1</v>
      </c>
    </row>
    <row r="178" spans="1:19" x14ac:dyDescent="0.25">
      <c r="A178" s="1">
        <v>40878</v>
      </c>
      <c r="B178" s="1">
        <v>40881</v>
      </c>
      <c r="C178" s="2">
        <f t="shared" si="2"/>
        <v>4</v>
      </c>
      <c r="D178" s="6" t="s">
        <v>2216</v>
      </c>
      <c r="E178" s="3" t="s">
        <v>2216</v>
      </c>
      <c r="F178" s="4" t="s">
        <v>58</v>
      </c>
      <c r="G178" s="3" t="s">
        <v>1105</v>
      </c>
      <c r="H178" s="3" t="s">
        <v>2254</v>
      </c>
      <c r="I178" s="3" t="s">
        <v>60</v>
      </c>
      <c r="J178" s="3" t="s">
        <v>61</v>
      </c>
      <c r="K178" s="3">
        <v>66612</v>
      </c>
      <c r="L178" s="3" t="s">
        <v>2255</v>
      </c>
      <c r="M178" s="3"/>
      <c r="N178" s="3"/>
      <c r="O178" s="3"/>
      <c r="P178" s="3"/>
      <c r="Q178" s="3" t="s">
        <v>67</v>
      </c>
      <c r="R178" s="3" t="s">
        <v>67</v>
      </c>
      <c r="S178" s="3" t="str">
        <f>"Dec 1-4"</f>
        <v>Dec 1-4</v>
      </c>
    </row>
    <row r="179" spans="1:19" ht="26.25" x14ac:dyDescent="0.25">
      <c r="A179" s="1">
        <v>40879</v>
      </c>
      <c r="B179" s="1">
        <v>40882</v>
      </c>
      <c r="C179" s="2">
        <f t="shared" si="2"/>
        <v>4</v>
      </c>
      <c r="D179" s="6" t="s">
        <v>2308</v>
      </c>
      <c r="E179" s="3" t="s">
        <v>2309</v>
      </c>
      <c r="F179" s="4" t="s">
        <v>58</v>
      </c>
      <c r="G179" s="3" t="s">
        <v>2310</v>
      </c>
      <c r="H179" s="3" t="s">
        <v>140</v>
      </c>
      <c r="I179" s="3" t="s">
        <v>105</v>
      </c>
      <c r="J179" s="3" t="s">
        <v>61</v>
      </c>
      <c r="K179" s="3">
        <v>66044</v>
      </c>
      <c r="L179" s="3" t="s">
        <v>2311</v>
      </c>
      <c r="M179" s="3"/>
      <c r="N179" s="3"/>
      <c r="O179" s="3"/>
      <c r="P179" s="3"/>
      <c r="Q179" s="3"/>
      <c r="R179" s="3" t="s">
        <v>67</v>
      </c>
      <c r="S179" s="3" t="str">
        <f>"Dec 2-5"</f>
        <v>Dec 2-5</v>
      </c>
    </row>
    <row r="180" spans="1:19" ht="39" x14ac:dyDescent="0.25">
      <c r="A180" s="1">
        <v>40927</v>
      </c>
      <c r="B180" s="1">
        <v>40930</v>
      </c>
      <c r="C180" s="2">
        <f t="shared" si="2"/>
        <v>4</v>
      </c>
      <c r="D180" s="6" t="s">
        <v>2714</v>
      </c>
      <c r="E180" s="3" t="s">
        <v>2715</v>
      </c>
      <c r="F180" s="5" t="s">
        <v>58</v>
      </c>
      <c r="G180" s="3" t="s">
        <v>428</v>
      </c>
      <c r="H180" s="3" t="s">
        <v>429</v>
      </c>
      <c r="I180" s="3" t="s">
        <v>85</v>
      </c>
      <c r="J180" s="3" t="s">
        <v>61</v>
      </c>
      <c r="K180" s="3">
        <v>67501</v>
      </c>
      <c r="L180" s="3" t="s">
        <v>430</v>
      </c>
      <c r="M180" s="3"/>
      <c r="N180" s="3"/>
      <c r="O180" s="3" t="s">
        <v>431</v>
      </c>
      <c r="P180" s="3" t="s">
        <v>432</v>
      </c>
      <c r="Q180" s="3" t="s">
        <v>67</v>
      </c>
      <c r="R180" s="3" t="s">
        <v>67</v>
      </c>
      <c r="S180" s="3" t="str">
        <f>"Jan 19-22"</f>
        <v>Jan 19-22</v>
      </c>
    </row>
    <row r="181" spans="1:19" ht="26.25" x14ac:dyDescent="0.25">
      <c r="A181" s="1">
        <v>40955</v>
      </c>
      <c r="B181" s="1">
        <v>40958</v>
      </c>
      <c r="C181" s="2">
        <f t="shared" si="2"/>
        <v>4</v>
      </c>
      <c r="D181" s="6" t="s">
        <v>2849</v>
      </c>
      <c r="E181" s="3" t="s">
        <v>2850</v>
      </c>
      <c r="F181" s="4" t="s">
        <v>58</v>
      </c>
      <c r="G181" s="3" t="s">
        <v>428</v>
      </c>
      <c r="H181" s="3" t="s">
        <v>429</v>
      </c>
      <c r="I181" s="3" t="s">
        <v>85</v>
      </c>
      <c r="J181" s="3" t="s">
        <v>61</v>
      </c>
      <c r="K181" s="3">
        <v>67501</v>
      </c>
      <c r="L181" s="3" t="s">
        <v>430</v>
      </c>
      <c r="M181" s="3"/>
      <c r="N181" s="3"/>
      <c r="O181" s="3" t="s">
        <v>431</v>
      </c>
      <c r="P181" s="3" t="s">
        <v>432</v>
      </c>
      <c r="Q181" s="3" t="s">
        <v>67</v>
      </c>
      <c r="R181" s="3" t="s">
        <v>67</v>
      </c>
      <c r="S181" s="3" t="str">
        <f>"Feb 16-19"</f>
        <v>Feb 16-19</v>
      </c>
    </row>
    <row r="182" spans="1:19" ht="26.25" x14ac:dyDescent="0.25">
      <c r="A182" s="1">
        <v>40975</v>
      </c>
      <c r="B182" s="1">
        <v>40978</v>
      </c>
      <c r="C182" s="2">
        <f t="shared" si="2"/>
        <v>4</v>
      </c>
      <c r="D182" s="6" t="s">
        <v>2937</v>
      </c>
      <c r="E182" s="3" t="s">
        <v>2938</v>
      </c>
      <c r="F182" s="4" t="s">
        <v>58</v>
      </c>
      <c r="G182" s="3" t="s">
        <v>2939</v>
      </c>
      <c r="H182" s="3" t="s">
        <v>2940</v>
      </c>
      <c r="I182" s="3" t="s">
        <v>85</v>
      </c>
      <c r="J182" s="3" t="s">
        <v>61</v>
      </c>
      <c r="K182" s="3">
        <v>67501</v>
      </c>
      <c r="L182" s="3" t="s">
        <v>2941</v>
      </c>
      <c r="M182" s="3"/>
      <c r="N182" s="3"/>
      <c r="O182" s="3" t="s">
        <v>2942</v>
      </c>
      <c r="P182" s="3" t="s">
        <v>2943</v>
      </c>
      <c r="Q182" s="3" t="s">
        <v>67</v>
      </c>
      <c r="R182" s="3" t="s">
        <v>67</v>
      </c>
      <c r="S182" s="3" t="str">
        <f>"Mar 7-10"</f>
        <v>Mar 7-10</v>
      </c>
    </row>
    <row r="183" spans="1:19" ht="39" x14ac:dyDescent="0.25">
      <c r="A183" s="1">
        <v>40975</v>
      </c>
      <c r="B183" s="1">
        <v>40978</v>
      </c>
      <c r="C183" s="2">
        <f t="shared" si="2"/>
        <v>4</v>
      </c>
      <c r="D183" s="6" t="s">
        <v>2944</v>
      </c>
      <c r="E183" s="3" t="s">
        <v>2945</v>
      </c>
      <c r="F183" s="4" t="s">
        <v>58</v>
      </c>
      <c r="G183" s="3" t="s">
        <v>1178</v>
      </c>
      <c r="H183" s="3" t="s">
        <v>2726</v>
      </c>
      <c r="I183" s="3" t="s">
        <v>865</v>
      </c>
      <c r="J183" s="3" t="s">
        <v>61</v>
      </c>
      <c r="K183" s="3">
        <v>67601</v>
      </c>
      <c r="L183" s="3" t="s">
        <v>1572</v>
      </c>
      <c r="M183" s="3"/>
      <c r="N183" s="3"/>
      <c r="O183" s="3" t="s">
        <v>1573</v>
      </c>
      <c r="P183" s="3" t="s">
        <v>1574</v>
      </c>
      <c r="Q183" s="3" t="s">
        <v>67</v>
      </c>
      <c r="R183" s="3" t="s">
        <v>67</v>
      </c>
      <c r="S183" s="3" t="str">
        <f>"Mar 7-10"</f>
        <v>Mar 7-10</v>
      </c>
    </row>
    <row r="184" spans="1:19" ht="26.25" x14ac:dyDescent="0.25">
      <c r="A184" s="1">
        <v>41018</v>
      </c>
      <c r="B184" s="1">
        <v>41021</v>
      </c>
      <c r="C184" s="2">
        <f t="shared" si="2"/>
        <v>4</v>
      </c>
      <c r="D184" s="6" t="s">
        <v>3076</v>
      </c>
      <c r="E184" s="3" t="s">
        <v>3077</v>
      </c>
      <c r="F184" s="4" t="s">
        <v>58</v>
      </c>
      <c r="G184" s="3" t="s">
        <v>428</v>
      </c>
      <c r="H184" s="3" t="s">
        <v>429</v>
      </c>
      <c r="I184" s="3" t="s">
        <v>85</v>
      </c>
      <c r="J184" s="3" t="s">
        <v>61</v>
      </c>
      <c r="K184" s="3">
        <v>67501</v>
      </c>
      <c r="L184" s="3" t="s">
        <v>430</v>
      </c>
      <c r="M184" s="3"/>
      <c r="N184" s="3"/>
      <c r="O184" s="3" t="s">
        <v>431</v>
      </c>
      <c r="P184" s="3" t="s">
        <v>432</v>
      </c>
      <c r="Q184" s="3" t="s">
        <v>67</v>
      </c>
      <c r="R184" s="3" t="s">
        <v>67</v>
      </c>
      <c r="S184" s="3" t="str">
        <f>"Apr 19-22"</f>
        <v>Apr 19-22</v>
      </c>
    </row>
    <row r="185" spans="1:19" ht="39" x14ac:dyDescent="0.25">
      <c r="A185" s="1">
        <v>41067</v>
      </c>
      <c r="B185" s="1">
        <v>41070</v>
      </c>
      <c r="C185" s="2">
        <f t="shared" si="2"/>
        <v>4</v>
      </c>
      <c r="D185" s="6" t="s">
        <v>3385</v>
      </c>
      <c r="E185" s="3" t="s">
        <v>3386</v>
      </c>
      <c r="F185" s="4" t="s">
        <v>58</v>
      </c>
      <c r="G185" s="3" t="s">
        <v>428</v>
      </c>
      <c r="H185" s="3" t="s">
        <v>429</v>
      </c>
      <c r="I185" s="3" t="s">
        <v>85</v>
      </c>
      <c r="J185" s="3" t="s">
        <v>61</v>
      </c>
      <c r="K185" s="3">
        <v>67501</v>
      </c>
      <c r="L185" s="3" t="s">
        <v>430</v>
      </c>
      <c r="M185" s="3"/>
      <c r="N185" s="3"/>
      <c r="O185" s="3" t="s">
        <v>431</v>
      </c>
      <c r="P185" s="3" t="s">
        <v>432</v>
      </c>
      <c r="Q185" s="3" t="s">
        <v>67</v>
      </c>
      <c r="R185" s="3" t="s">
        <v>67</v>
      </c>
      <c r="S185" s="3" t="str">
        <f>"Jun 7-10"</f>
        <v>Jun 7-10</v>
      </c>
    </row>
    <row r="186" spans="1:19" ht="39" x14ac:dyDescent="0.25">
      <c r="A186" s="1">
        <v>40816</v>
      </c>
      <c r="B186" s="1">
        <v>40818</v>
      </c>
      <c r="C186" s="2">
        <f t="shared" si="2"/>
        <v>3</v>
      </c>
      <c r="D186" s="6" t="s">
        <v>460</v>
      </c>
      <c r="E186" s="3" t="s">
        <v>461</v>
      </c>
      <c r="F186" s="4" t="s">
        <v>58</v>
      </c>
      <c r="G186" s="3" t="s">
        <v>462</v>
      </c>
      <c r="H186" s="3" t="s">
        <v>463</v>
      </c>
      <c r="I186" s="3" t="s">
        <v>464</v>
      </c>
      <c r="J186" s="3" t="s">
        <v>61</v>
      </c>
      <c r="K186" s="3">
        <v>67137</v>
      </c>
      <c r="L186" s="3" t="s">
        <v>465</v>
      </c>
      <c r="M186" s="3"/>
      <c r="N186" s="3"/>
      <c r="O186" s="3"/>
      <c r="P186" s="3" t="s">
        <v>466</v>
      </c>
      <c r="Q186" s="3"/>
      <c r="R186" s="3"/>
      <c r="S186" s="3" t="str">
        <f>"Sep 30-Oct 2"</f>
        <v>Sep 30-Oct 2</v>
      </c>
    </row>
    <row r="187" spans="1:19" ht="26.25" x14ac:dyDescent="0.25">
      <c r="A187" s="1">
        <v>40816</v>
      </c>
      <c r="B187" s="1">
        <v>40818</v>
      </c>
      <c r="C187" s="2">
        <f t="shared" si="2"/>
        <v>3</v>
      </c>
      <c r="D187" s="6" t="s">
        <v>460</v>
      </c>
      <c r="E187" s="3" t="s">
        <v>467</v>
      </c>
      <c r="F187" s="4" t="s">
        <v>58</v>
      </c>
      <c r="G187" s="3" t="s">
        <v>468</v>
      </c>
      <c r="H187" s="3"/>
      <c r="I187" s="3" t="s">
        <v>245</v>
      </c>
      <c r="J187" s="3" t="s">
        <v>61</v>
      </c>
      <c r="K187" s="3">
        <v>67401</v>
      </c>
      <c r="L187" s="3" t="s">
        <v>469</v>
      </c>
      <c r="M187" s="3"/>
      <c r="N187" s="3"/>
      <c r="O187" s="3" t="s">
        <v>470</v>
      </c>
      <c r="P187" s="3" t="s">
        <v>466</v>
      </c>
      <c r="Q187" s="3"/>
      <c r="R187" s="3"/>
      <c r="S187" s="3" t="str">
        <f>"Sep 30-Oct 2"</f>
        <v>Sep 30-Oct 2</v>
      </c>
    </row>
    <row r="188" spans="1:19" ht="39" x14ac:dyDescent="0.25">
      <c r="A188" s="1">
        <v>40816</v>
      </c>
      <c r="B188" s="1">
        <v>40818</v>
      </c>
      <c r="C188" s="2">
        <f t="shared" si="2"/>
        <v>3</v>
      </c>
      <c r="D188" s="6" t="s">
        <v>471</v>
      </c>
      <c r="E188" s="3" t="s">
        <v>472</v>
      </c>
      <c r="F188" s="4" t="s">
        <v>58</v>
      </c>
      <c r="G188" s="3" t="s">
        <v>473</v>
      </c>
      <c r="H188" s="3"/>
      <c r="I188" s="3" t="s">
        <v>193</v>
      </c>
      <c r="J188" s="3" t="s">
        <v>61</v>
      </c>
      <c r="K188" s="3">
        <v>67530</v>
      </c>
      <c r="L188" s="3" t="s">
        <v>474</v>
      </c>
      <c r="M188" s="3" t="s">
        <v>474</v>
      </c>
      <c r="N188" s="3"/>
      <c r="O188" s="3" t="s">
        <v>475</v>
      </c>
      <c r="P188" s="3" t="s">
        <v>476</v>
      </c>
      <c r="Q188" s="3" t="s">
        <v>67</v>
      </c>
      <c r="R188" s="3"/>
      <c r="S188" s="3" t="str">
        <f>"Sep 30-Oct 2"</f>
        <v>Sep 30-Oct 2</v>
      </c>
    </row>
    <row r="189" spans="1:19" ht="26.25" x14ac:dyDescent="0.25">
      <c r="A189" s="1">
        <v>40816</v>
      </c>
      <c r="B189" s="1">
        <v>40818</v>
      </c>
      <c r="C189" s="2">
        <f t="shared" si="2"/>
        <v>3</v>
      </c>
      <c r="D189" s="6" t="s">
        <v>477</v>
      </c>
      <c r="E189" s="3" t="s">
        <v>478</v>
      </c>
      <c r="F189" s="4" t="s">
        <v>58</v>
      </c>
      <c r="G189" s="3" t="s">
        <v>479</v>
      </c>
      <c r="H189" s="3" t="s">
        <v>480</v>
      </c>
      <c r="I189" s="3" t="s">
        <v>245</v>
      </c>
      <c r="J189" s="3" t="s">
        <v>61</v>
      </c>
      <c r="K189" s="3">
        <v>67401</v>
      </c>
      <c r="L189" s="3" t="s">
        <v>481</v>
      </c>
      <c r="M189" s="3"/>
      <c r="N189" s="3"/>
      <c r="O189" s="3"/>
      <c r="P189" s="3" t="s">
        <v>482</v>
      </c>
      <c r="Q189" s="3" t="s">
        <v>67</v>
      </c>
      <c r="R189" s="3"/>
      <c r="S189" s="3" t="str">
        <f>"Sep 30-Oct 2"</f>
        <v>Sep 30-Oct 2</v>
      </c>
    </row>
    <row r="190" spans="1:19" ht="39" x14ac:dyDescent="0.25">
      <c r="A190" s="1">
        <v>40827</v>
      </c>
      <c r="B190" s="1">
        <v>40829</v>
      </c>
      <c r="C190" s="2">
        <f t="shared" si="2"/>
        <v>3</v>
      </c>
      <c r="D190" s="6" t="s">
        <v>1149</v>
      </c>
      <c r="E190" s="3" t="s">
        <v>1150</v>
      </c>
      <c r="F190" s="4" t="s">
        <v>58</v>
      </c>
      <c r="G190" s="3" t="s">
        <v>1151</v>
      </c>
      <c r="H190" s="3" t="s">
        <v>1152</v>
      </c>
      <c r="I190" s="3" t="s">
        <v>179</v>
      </c>
      <c r="J190" s="3" t="s">
        <v>61</v>
      </c>
      <c r="K190" s="3">
        <v>66508</v>
      </c>
      <c r="L190" s="3" t="s">
        <v>1153</v>
      </c>
      <c r="M190" s="3"/>
      <c r="N190" s="3"/>
      <c r="O190" s="3" t="s">
        <v>1154</v>
      </c>
      <c r="P190" s="3"/>
      <c r="Q190" s="3" t="s">
        <v>67</v>
      </c>
      <c r="R190" s="3"/>
      <c r="S190" s="3" t="str">
        <f>"Oct 11-13"</f>
        <v>Oct 11-13</v>
      </c>
    </row>
    <row r="191" spans="1:19" ht="26.25" x14ac:dyDescent="0.25">
      <c r="A191" s="1">
        <v>40829</v>
      </c>
      <c r="B191" s="1">
        <v>40831</v>
      </c>
      <c r="C191" s="2">
        <f t="shared" si="2"/>
        <v>3</v>
      </c>
      <c r="D191" s="6" t="s">
        <v>1183</v>
      </c>
      <c r="E191" s="3" t="s">
        <v>1184</v>
      </c>
      <c r="F191" s="4" t="s">
        <v>58</v>
      </c>
      <c r="G191" s="3" t="s">
        <v>1185</v>
      </c>
      <c r="H191" s="3" t="s">
        <v>1186</v>
      </c>
      <c r="I191" s="3" t="s">
        <v>1187</v>
      </c>
      <c r="J191" s="3" t="s">
        <v>61</v>
      </c>
      <c r="K191" s="3">
        <v>66061</v>
      </c>
      <c r="L191" s="3" t="s">
        <v>1188</v>
      </c>
      <c r="M191" s="3"/>
      <c r="N191" s="3"/>
      <c r="O191" s="3" t="s">
        <v>1189</v>
      </c>
      <c r="P191" s="3" t="s">
        <v>1190</v>
      </c>
      <c r="Q191" s="3" t="s">
        <v>67</v>
      </c>
      <c r="R191" s="3" t="s">
        <v>67</v>
      </c>
      <c r="S191" s="3" t="str">
        <f>"Oct 13-15"</f>
        <v>Oct 13-15</v>
      </c>
    </row>
    <row r="192" spans="1:19" ht="39" x14ac:dyDescent="0.25">
      <c r="A192" s="1">
        <v>40830</v>
      </c>
      <c r="B192" s="1">
        <v>40832</v>
      </c>
      <c r="C192" s="2">
        <f t="shared" si="2"/>
        <v>3</v>
      </c>
      <c r="D192" s="6" t="s">
        <v>1222</v>
      </c>
      <c r="E192" s="3" t="s">
        <v>1223</v>
      </c>
      <c r="F192" s="4" t="s">
        <v>58</v>
      </c>
      <c r="G192" s="3" t="s">
        <v>1224</v>
      </c>
      <c r="H192" s="3"/>
      <c r="I192" s="3" t="s">
        <v>1225</v>
      </c>
      <c r="J192" s="3" t="s">
        <v>61</v>
      </c>
      <c r="K192" s="3">
        <v>67672</v>
      </c>
      <c r="L192" s="3" t="s">
        <v>1226</v>
      </c>
      <c r="M192" s="3"/>
      <c r="N192" s="3"/>
      <c r="O192" s="3" t="s">
        <v>1227</v>
      </c>
      <c r="P192" s="3" t="s">
        <v>1228</v>
      </c>
      <c r="Q192" s="3" t="s">
        <v>67</v>
      </c>
      <c r="R192" s="3" t="s">
        <v>67</v>
      </c>
      <c r="S192" s="3" t="str">
        <f>"Oct 14-16"</f>
        <v>Oct 14-16</v>
      </c>
    </row>
    <row r="193" spans="1:19" ht="26.25" x14ac:dyDescent="0.25">
      <c r="A193" s="1">
        <v>40841</v>
      </c>
      <c r="B193" s="1">
        <v>40843</v>
      </c>
      <c r="C193" s="2">
        <f t="shared" si="2"/>
        <v>3</v>
      </c>
      <c r="D193" s="6" t="s">
        <v>1489</v>
      </c>
      <c r="E193" s="3" t="s">
        <v>1490</v>
      </c>
      <c r="F193" s="4" t="s">
        <v>58</v>
      </c>
      <c r="G193" s="3" t="s">
        <v>1491</v>
      </c>
      <c r="H193" s="3" t="s">
        <v>1492</v>
      </c>
      <c r="I193" s="3" t="s">
        <v>179</v>
      </c>
      <c r="J193" s="3" t="s">
        <v>61</v>
      </c>
      <c r="K193" s="3">
        <v>66508</v>
      </c>
      <c r="L193" s="3" t="s">
        <v>1153</v>
      </c>
      <c r="M193" s="3"/>
      <c r="N193" s="3"/>
      <c r="O193" s="3" t="s">
        <v>1154</v>
      </c>
      <c r="P193" s="3"/>
      <c r="Q193" s="3"/>
      <c r="R193" s="3"/>
      <c r="S193" s="3" t="str">
        <f>"Oct 25-27"</f>
        <v>Oct 25-27</v>
      </c>
    </row>
    <row r="194" spans="1:19" ht="26.25" x14ac:dyDescent="0.25">
      <c r="A194" s="1">
        <v>40851</v>
      </c>
      <c r="B194" s="1">
        <v>40853</v>
      </c>
      <c r="C194" s="2">
        <f t="shared" ref="C194:C257" si="3">(B194-A194)+1</f>
        <v>3</v>
      </c>
      <c r="D194" s="6" t="s">
        <v>1705</v>
      </c>
      <c r="E194" s="3" t="s">
        <v>1706</v>
      </c>
      <c r="F194" s="4" t="s">
        <v>58</v>
      </c>
      <c r="G194" s="3" t="s">
        <v>1707</v>
      </c>
      <c r="H194" s="3"/>
      <c r="I194" s="3" t="s">
        <v>865</v>
      </c>
      <c r="J194" s="3" t="s">
        <v>61</v>
      </c>
      <c r="K194" s="3">
        <v>67601</v>
      </c>
      <c r="L194" s="3" t="s">
        <v>1146</v>
      </c>
      <c r="M194" s="3"/>
      <c r="N194" s="3"/>
      <c r="O194" s="3" t="s">
        <v>1147</v>
      </c>
      <c r="P194" s="3" t="s">
        <v>1148</v>
      </c>
      <c r="Q194" s="3" t="s">
        <v>67</v>
      </c>
      <c r="R194" s="3"/>
      <c r="S194" s="3" t="str">
        <f>"Nov 4-6"</f>
        <v>Nov 4-6</v>
      </c>
    </row>
    <row r="195" spans="1:19" ht="26.25" x14ac:dyDescent="0.25">
      <c r="A195" s="1">
        <v>40857</v>
      </c>
      <c r="B195" s="1">
        <v>40859</v>
      </c>
      <c r="C195" s="2">
        <f t="shared" si="3"/>
        <v>3</v>
      </c>
      <c r="D195" s="6" t="s">
        <v>1869</v>
      </c>
      <c r="E195" s="3" t="s">
        <v>1870</v>
      </c>
      <c r="F195" s="4" t="s">
        <v>58</v>
      </c>
      <c r="G195" s="3" t="s">
        <v>1127</v>
      </c>
      <c r="H195" s="3"/>
      <c r="I195" s="3" t="s">
        <v>303</v>
      </c>
      <c r="J195" s="3" t="s">
        <v>61</v>
      </c>
      <c r="K195" s="3">
        <v>66502</v>
      </c>
      <c r="L195" s="3" t="s">
        <v>1129</v>
      </c>
      <c r="M195" s="3"/>
      <c r="N195" s="3"/>
      <c r="O195" s="3"/>
      <c r="P195" s="3" t="s">
        <v>1871</v>
      </c>
      <c r="Q195" s="3" t="s">
        <v>67</v>
      </c>
      <c r="R195" s="3" t="s">
        <v>67</v>
      </c>
      <c r="S195" s="3" t="str">
        <f>"Nov 10-12"</f>
        <v>Nov 10-12</v>
      </c>
    </row>
    <row r="196" spans="1:19" ht="39" x14ac:dyDescent="0.25">
      <c r="A196" s="1">
        <v>40858</v>
      </c>
      <c r="B196" s="1">
        <v>40860</v>
      </c>
      <c r="C196" s="2">
        <f t="shared" si="3"/>
        <v>3</v>
      </c>
      <c r="D196" s="6" t="s">
        <v>1749</v>
      </c>
      <c r="E196" s="3" t="s">
        <v>1912</v>
      </c>
      <c r="F196" s="4" t="s">
        <v>58</v>
      </c>
      <c r="G196" s="3" t="s">
        <v>1913</v>
      </c>
      <c r="H196" s="3"/>
      <c r="I196" s="3" t="s">
        <v>1914</v>
      </c>
      <c r="J196" s="3" t="s">
        <v>61</v>
      </c>
      <c r="K196" s="3">
        <v>67835</v>
      </c>
      <c r="L196" s="3" t="s">
        <v>1915</v>
      </c>
      <c r="M196" s="3"/>
      <c r="N196" s="3" t="s">
        <v>1916</v>
      </c>
      <c r="O196" s="3" t="s">
        <v>1917</v>
      </c>
      <c r="P196" s="3"/>
      <c r="Q196" s="3" t="s">
        <v>67</v>
      </c>
      <c r="R196" s="3"/>
      <c r="S196" s="3" t="str">
        <f>"Nov 11-13"</f>
        <v>Nov 11-13</v>
      </c>
    </row>
    <row r="197" spans="1:19" ht="26.25" x14ac:dyDescent="0.25">
      <c r="A197" s="1">
        <v>40865</v>
      </c>
      <c r="B197" s="1">
        <v>40867</v>
      </c>
      <c r="C197" s="2">
        <f t="shared" si="3"/>
        <v>3</v>
      </c>
      <c r="D197" s="6" t="s">
        <v>1981</v>
      </c>
      <c r="E197" s="3" t="s">
        <v>1982</v>
      </c>
      <c r="F197" s="4" t="s">
        <v>58</v>
      </c>
      <c r="G197" s="3" t="s">
        <v>1151</v>
      </c>
      <c r="H197" s="3" t="s">
        <v>1152</v>
      </c>
      <c r="I197" s="3" t="s">
        <v>179</v>
      </c>
      <c r="J197" s="3" t="s">
        <v>61</v>
      </c>
      <c r="K197" s="3">
        <v>66508</v>
      </c>
      <c r="L197" s="3" t="s">
        <v>1153</v>
      </c>
      <c r="M197" s="3"/>
      <c r="N197" s="3"/>
      <c r="O197" s="3" t="s">
        <v>1154</v>
      </c>
      <c r="P197" s="3"/>
      <c r="Q197" s="3" t="s">
        <v>67</v>
      </c>
      <c r="R197" s="3" t="s">
        <v>67</v>
      </c>
      <c r="S197" s="3" t="str">
        <f>"Nov 18-20"</f>
        <v>Nov 18-20</v>
      </c>
    </row>
    <row r="198" spans="1:19" ht="26.25" x14ac:dyDescent="0.25">
      <c r="A198" s="1">
        <v>40878</v>
      </c>
      <c r="B198" s="1">
        <v>40880</v>
      </c>
      <c r="C198" s="2">
        <f t="shared" si="3"/>
        <v>3</v>
      </c>
      <c r="D198" s="6" t="s">
        <v>2251</v>
      </c>
      <c r="E198" s="3" t="s">
        <v>2252</v>
      </c>
      <c r="F198" s="4" t="s">
        <v>58</v>
      </c>
      <c r="G198" s="3" t="s">
        <v>1609</v>
      </c>
      <c r="H198" s="3" t="s">
        <v>2253</v>
      </c>
      <c r="I198" s="3" t="s">
        <v>60</v>
      </c>
      <c r="J198" s="3" t="s">
        <v>61</v>
      </c>
      <c r="K198" s="3">
        <v>66603</v>
      </c>
      <c r="L198" s="3" t="s">
        <v>739</v>
      </c>
      <c r="M198" s="3"/>
      <c r="N198" s="3"/>
      <c r="O198" s="3" t="s">
        <v>740</v>
      </c>
      <c r="P198" s="3"/>
      <c r="Q198" s="3" t="s">
        <v>67</v>
      </c>
      <c r="R198" s="3" t="s">
        <v>67</v>
      </c>
      <c r="S198" s="3" t="str">
        <f>"Dec 1-3"</f>
        <v>Dec 1-3</v>
      </c>
    </row>
    <row r="199" spans="1:19" ht="26.25" x14ac:dyDescent="0.25">
      <c r="A199" s="1">
        <v>40879</v>
      </c>
      <c r="B199" s="1">
        <v>40881</v>
      </c>
      <c r="C199" s="2">
        <f t="shared" si="3"/>
        <v>3</v>
      </c>
      <c r="D199" s="6" t="s">
        <v>2299</v>
      </c>
      <c r="E199" s="3" t="s">
        <v>2300</v>
      </c>
      <c r="F199" s="4" t="s">
        <v>58</v>
      </c>
      <c r="G199" s="3" t="s">
        <v>2301</v>
      </c>
      <c r="H199" s="3"/>
      <c r="I199" s="3" t="s">
        <v>77</v>
      </c>
      <c r="J199" s="3" t="s">
        <v>61</v>
      </c>
      <c r="K199" s="3">
        <v>66067</v>
      </c>
      <c r="L199" s="3" t="s">
        <v>2302</v>
      </c>
      <c r="M199" s="3"/>
      <c r="N199" s="3"/>
      <c r="O199" s="3"/>
      <c r="P199" s="3" t="s">
        <v>2303</v>
      </c>
      <c r="Q199" s="3" t="s">
        <v>67</v>
      </c>
      <c r="R199" s="3"/>
      <c r="S199" s="3" t="str">
        <f>"Dec 2-4"</f>
        <v>Dec 2-4</v>
      </c>
    </row>
    <row r="200" spans="1:19" ht="26.25" x14ac:dyDescent="0.25">
      <c r="A200" s="1">
        <v>40879</v>
      </c>
      <c r="B200" s="1">
        <v>40881</v>
      </c>
      <c r="C200" s="2">
        <f t="shared" si="3"/>
        <v>3</v>
      </c>
      <c r="D200" s="6" t="s">
        <v>2304</v>
      </c>
      <c r="E200" s="3" t="s">
        <v>2305</v>
      </c>
      <c r="F200" s="4" t="s">
        <v>58</v>
      </c>
      <c r="G200" s="3" t="s">
        <v>2306</v>
      </c>
      <c r="H200" s="3" t="s">
        <v>2307</v>
      </c>
      <c r="I200" s="3" t="s">
        <v>236</v>
      </c>
      <c r="J200" s="3" t="s">
        <v>61</v>
      </c>
      <c r="K200" s="3">
        <v>67005</v>
      </c>
      <c r="L200" s="3" t="s">
        <v>237</v>
      </c>
      <c r="M200" s="3"/>
      <c r="N200" s="3"/>
      <c r="O200" s="3" t="s">
        <v>239</v>
      </c>
      <c r="P200" s="3" t="s">
        <v>240</v>
      </c>
      <c r="Q200" s="3" t="s">
        <v>67</v>
      </c>
      <c r="R200" s="3" t="s">
        <v>67</v>
      </c>
      <c r="S200" s="3" t="str">
        <f>"Dec 2-4"</f>
        <v>Dec 2-4</v>
      </c>
    </row>
    <row r="201" spans="1:19" ht="39" x14ac:dyDescent="0.25">
      <c r="A201" s="1">
        <v>40886</v>
      </c>
      <c r="B201" s="1">
        <v>40888</v>
      </c>
      <c r="C201" s="2">
        <f t="shared" si="3"/>
        <v>3</v>
      </c>
      <c r="D201" s="6" t="s">
        <v>2563</v>
      </c>
      <c r="E201" s="3" t="s">
        <v>2564</v>
      </c>
      <c r="F201" s="4" t="s">
        <v>58</v>
      </c>
      <c r="G201" s="3" t="s">
        <v>1857</v>
      </c>
      <c r="H201" s="3"/>
      <c r="I201" s="3" t="s">
        <v>85</v>
      </c>
      <c r="J201" s="3" t="s">
        <v>61</v>
      </c>
      <c r="K201" s="3">
        <v>67501</v>
      </c>
      <c r="L201" s="3" t="s">
        <v>1858</v>
      </c>
      <c r="M201" s="3"/>
      <c r="N201" s="3"/>
      <c r="O201" s="3"/>
      <c r="P201" s="3" t="s">
        <v>2565</v>
      </c>
      <c r="Q201" s="3" t="s">
        <v>67</v>
      </c>
      <c r="R201" s="3" t="s">
        <v>67</v>
      </c>
      <c r="S201" s="3" t="str">
        <f>"Dec 9-11"</f>
        <v>Dec 9-11</v>
      </c>
    </row>
    <row r="202" spans="1:19" ht="26.25" x14ac:dyDescent="0.25">
      <c r="A202" s="1">
        <v>40886</v>
      </c>
      <c r="B202" s="1">
        <v>40888</v>
      </c>
      <c r="C202" s="2">
        <f t="shared" si="3"/>
        <v>3</v>
      </c>
      <c r="D202" s="6" t="s">
        <v>2566</v>
      </c>
      <c r="E202" s="3" t="s">
        <v>2567</v>
      </c>
      <c r="F202" s="4" t="s">
        <v>58</v>
      </c>
      <c r="G202" s="3" t="s">
        <v>837</v>
      </c>
      <c r="H202" s="3"/>
      <c r="I202" s="3" t="s">
        <v>60</v>
      </c>
      <c r="J202" s="3" t="s">
        <v>61</v>
      </c>
      <c r="K202" s="3">
        <v>66603</v>
      </c>
      <c r="L202" s="3" t="s">
        <v>838</v>
      </c>
      <c r="M202" s="3"/>
      <c r="N202" s="3"/>
      <c r="O202" s="3"/>
      <c r="P202" s="3" t="s">
        <v>839</v>
      </c>
      <c r="Q202" s="3" t="s">
        <v>67</v>
      </c>
      <c r="R202" s="3" t="s">
        <v>67</v>
      </c>
      <c r="S202" s="3" t="str">
        <f>"Dec 9-11"</f>
        <v>Dec 9-11</v>
      </c>
    </row>
    <row r="203" spans="1:19" x14ac:dyDescent="0.25">
      <c r="A203" s="1">
        <v>40921</v>
      </c>
      <c r="B203" s="1">
        <v>40923</v>
      </c>
      <c r="C203" s="2">
        <f t="shared" si="3"/>
        <v>3</v>
      </c>
      <c r="D203" s="6" t="s">
        <v>2694</v>
      </c>
      <c r="E203" s="3" t="s">
        <v>2694</v>
      </c>
      <c r="F203" s="4" t="s">
        <v>58</v>
      </c>
      <c r="G203" s="3" t="s">
        <v>811</v>
      </c>
      <c r="H203" s="3" t="s">
        <v>810</v>
      </c>
      <c r="I203" s="3" t="s">
        <v>60</v>
      </c>
      <c r="J203" s="3" t="s">
        <v>61</v>
      </c>
      <c r="K203" s="3">
        <v>66612</v>
      </c>
      <c r="L203" s="3" t="s">
        <v>812</v>
      </c>
      <c r="M203" s="3" t="s">
        <v>813</v>
      </c>
      <c r="N203" s="3"/>
      <c r="O203" s="3"/>
      <c r="P203" s="3" t="s">
        <v>814</v>
      </c>
      <c r="Q203" s="3" t="s">
        <v>67</v>
      </c>
      <c r="R203" s="3" t="s">
        <v>67</v>
      </c>
      <c r="S203" s="3" t="str">
        <f>"Jan 13-15"</f>
        <v>Jan 13-15</v>
      </c>
    </row>
    <row r="204" spans="1:19" ht="39" x14ac:dyDescent="0.25">
      <c r="A204" s="1">
        <v>40942</v>
      </c>
      <c r="B204" s="1">
        <v>40944</v>
      </c>
      <c r="C204" s="2">
        <f t="shared" si="3"/>
        <v>3</v>
      </c>
      <c r="D204" s="6" t="s">
        <v>2782</v>
      </c>
      <c r="E204" s="3" t="s">
        <v>2783</v>
      </c>
      <c r="F204" s="4" t="s">
        <v>58</v>
      </c>
      <c r="G204" s="3" t="s">
        <v>2784</v>
      </c>
      <c r="H204" s="3" t="s">
        <v>2785</v>
      </c>
      <c r="I204" s="3" t="s">
        <v>865</v>
      </c>
      <c r="J204" s="3" t="s">
        <v>61</v>
      </c>
      <c r="K204" s="3">
        <v>67601</v>
      </c>
      <c r="L204" s="3" t="s">
        <v>2786</v>
      </c>
      <c r="M204" s="3"/>
      <c r="N204" s="3"/>
      <c r="O204" s="3" t="s">
        <v>2787</v>
      </c>
      <c r="P204" s="3" t="s">
        <v>2788</v>
      </c>
      <c r="Q204" s="3" t="s">
        <v>67</v>
      </c>
      <c r="R204" s="3" t="s">
        <v>67</v>
      </c>
      <c r="S204" s="3" t="str">
        <f>"Feb 3-5"</f>
        <v>Feb 3-5</v>
      </c>
    </row>
    <row r="205" spans="1:19" ht="26.25" x14ac:dyDescent="0.25">
      <c r="A205" s="1">
        <v>40949</v>
      </c>
      <c r="B205" s="1">
        <v>40951</v>
      </c>
      <c r="C205" s="2">
        <f t="shared" si="3"/>
        <v>3</v>
      </c>
      <c r="D205" s="6" t="s">
        <v>2811</v>
      </c>
      <c r="E205" s="3" t="s">
        <v>2812</v>
      </c>
      <c r="F205" s="4" t="s">
        <v>58</v>
      </c>
      <c r="G205" s="3" t="s">
        <v>2813</v>
      </c>
      <c r="H205" s="3" t="s">
        <v>2814</v>
      </c>
      <c r="I205" s="3" t="s">
        <v>2815</v>
      </c>
      <c r="J205" s="3" t="s">
        <v>61</v>
      </c>
      <c r="K205" s="3">
        <v>67147</v>
      </c>
      <c r="L205" s="3" t="s">
        <v>2816</v>
      </c>
      <c r="M205" s="3"/>
      <c r="N205" s="3"/>
      <c r="O205" s="3" t="s">
        <v>2817</v>
      </c>
      <c r="P205" s="3" t="s">
        <v>2818</v>
      </c>
      <c r="Q205" s="3" t="s">
        <v>67</v>
      </c>
      <c r="R205" s="3" t="s">
        <v>67</v>
      </c>
      <c r="S205" s="3" t="str">
        <f>"Feb 10-12"</f>
        <v>Feb 10-12</v>
      </c>
    </row>
    <row r="206" spans="1:19" ht="39" x14ac:dyDescent="0.25">
      <c r="A206" s="1">
        <v>40956</v>
      </c>
      <c r="B206" s="1">
        <v>40958</v>
      </c>
      <c r="C206" s="2">
        <f t="shared" si="3"/>
        <v>3</v>
      </c>
      <c r="D206" s="6" t="s">
        <v>2866</v>
      </c>
      <c r="E206" s="3" t="s">
        <v>2867</v>
      </c>
      <c r="F206" s="4" t="s">
        <v>58</v>
      </c>
      <c r="G206" s="3" t="s">
        <v>2868</v>
      </c>
      <c r="H206" s="3" t="s">
        <v>2869</v>
      </c>
      <c r="I206" s="3" t="s">
        <v>963</v>
      </c>
      <c r="J206" s="3" t="s">
        <v>61</v>
      </c>
      <c r="K206" s="3">
        <v>67550</v>
      </c>
      <c r="L206" s="3" t="s">
        <v>1752</v>
      </c>
      <c r="M206" s="3" t="s">
        <v>1753</v>
      </c>
      <c r="N206" s="3" t="s">
        <v>1754</v>
      </c>
      <c r="O206" s="3" t="s">
        <v>2345</v>
      </c>
      <c r="P206" s="3" t="s">
        <v>1756</v>
      </c>
      <c r="Q206" s="3" t="s">
        <v>67</v>
      </c>
      <c r="R206" s="3" t="s">
        <v>67</v>
      </c>
      <c r="S206" s="3" t="str">
        <f>"Feb 17-19"</f>
        <v>Feb 17-19</v>
      </c>
    </row>
    <row r="207" spans="1:19" ht="39" x14ac:dyDescent="0.25">
      <c r="A207" s="1">
        <v>41010</v>
      </c>
      <c r="B207" s="1">
        <v>41012</v>
      </c>
      <c r="C207" s="2">
        <f t="shared" si="3"/>
        <v>3</v>
      </c>
      <c r="D207" s="6" t="s">
        <v>3047</v>
      </c>
      <c r="E207" s="3" t="s">
        <v>3048</v>
      </c>
      <c r="F207" s="4" t="s">
        <v>58</v>
      </c>
      <c r="G207" s="3" t="s">
        <v>787</v>
      </c>
      <c r="H207" s="3"/>
      <c r="I207" s="3" t="s">
        <v>789</v>
      </c>
      <c r="J207" s="3" t="s">
        <v>61</v>
      </c>
      <c r="K207" s="3">
        <v>67834</v>
      </c>
      <c r="L207" s="3" t="s">
        <v>790</v>
      </c>
      <c r="M207" s="3"/>
      <c r="N207" s="3"/>
      <c r="O207" s="3"/>
      <c r="P207" s="3" t="s">
        <v>3049</v>
      </c>
      <c r="Q207" s="3"/>
      <c r="R207" s="3" t="s">
        <v>67</v>
      </c>
      <c r="S207" s="3" t="str">
        <f>"Apr 11-13"</f>
        <v>Apr 11-13</v>
      </c>
    </row>
    <row r="208" spans="1:19" ht="26.25" x14ac:dyDescent="0.25">
      <c r="A208" s="1">
        <v>41012</v>
      </c>
      <c r="B208" s="1">
        <v>41014</v>
      </c>
      <c r="C208" s="2">
        <f t="shared" si="3"/>
        <v>3</v>
      </c>
      <c r="D208" s="6" t="s">
        <v>3053</v>
      </c>
      <c r="E208" s="3" t="s">
        <v>3054</v>
      </c>
      <c r="F208" s="5" t="s">
        <v>58</v>
      </c>
      <c r="G208" s="3" t="s">
        <v>1151</v>
      </c>
      <c r="H208" s="3" t="s">
        <v>1152</v>
      </c>
      <c r="I208" s="3" t="s">
        <v>179</v>
      </c>
      <c r="J208" s="3" t="s">
        <v>61</v>
      </c>
      <c r="K208" s="3">
        <v>66508</v>
      </c>
      <c r="L208" s="3" t="s">
        <v>1153</v>
      </c>
      <c r="M208" s="3"/>
      <c r="N208" s="3"/>
      <c r="O208" s="3" t="s">
        <v>1154</v>
      </c>
      <c r="P208" s="3"/>
      <c r="Q208" s="3" t="s">
        <v>67</v>
      </c>
      <c r="R208" s="3" t="s">
        <v>67</v>
      </c>
      <c r="S208" s="3" t="str">
        <f>"Apr 13-15"</f>
        <v>Apr 13-15</v>
      </c>
    </row>
    <row r="209" spans="1:19" ht="26.25" x14ac:dyDescent="0.25">
      <c r="A209" s="1">
        <v>41012</v>
      </c>
      <c r="B209" s="1">
        <v>41014</v>
      </c>
      <c r="C209" s="2">
        <f t="shared" si="3"/>
        <v>3</v>
      </c>
      <c r="D209" s="6" t="s">
        <v>3055</v>
      </c>
      <c r="E209" s="3" t="s">
        <v>3056</v>
      </c>
      <c r="F209" s="4" t="s">
        <v>58</v>
      </c>
      <c r="G209" s="3" t="s">
        <v>2041</v>
      </c>
      <c r="H209" s="3" t="s">
        <v>3057</v>
      </c>
      <c r="I209" s="3" t="s">
        <v>558</v>
      </c>
      <c r="J209" s="3" t="s">
        <v>61</v>
      </c>
      <c r="K209" s="3">
        <v>67880</v>
      </c>
      <c r="L209" s="3" t="s">
        <v>559</v>
      </c>
      <c r="M209" s="3"/>
      <c r="N209" s="3"/>
      <c r="O209" s="3" t="s">
        <v>3058</v>
      </c>
      <c r="P209" s="3" t="s">
        <v>562</v>
      </c>
      <c r="Q209" s="3" t="s">
        <v>67</v>
      </c>
      <c r="R209" s="3"/>
      <c r="S209" s="3" t="str">
        <f>"Apr 13-15"</f>
        <v>Apr 13-15</v>
      </c>
    </row>
    <row r="210" spans="1:19" ht="39" x14ac:dyDescent="0.25">
      <c r="A210" s="1">
        <v>41026</v>
      </c>
      <c r="B210" s="1">
        <v>41028</v>
      </c>
      <c r="C210" s="2">
        <f t="shared" si="3"/>
        <v>3</v>
      </c>
      <c r="D210" s="6" t="s">
        <v>3128</v>
      </c>
      <c r="E210" s="3" t="s">
        <v>3129</v>
      </c>
      <c r="F210" s="4" t="s">
        <v>58</v>
      </c>
      <c r="G210" s="3" t="s">
        <v>3130</v>
      </c>
      <c r="H210" s="3" t="s">
        <v>3131</v>
      </c>
      <c r="I210" s="3" t="s">
        <v>865</v>
      </c>
      <c r="J210" s="3" t="s">
        <v>61</v>
      </c>
      <c r="K210" s="3">
        <v>67601</v>
      </c>
      <c r="L210" s="3" t="s">
        <v>3132</v>
      </c>
      <c r="M210" s="3"/>
      <c r="N210" s="3" t="s">
        <v>3133</v>
      </c>
      <c r="O210" s="3" t="s">
        <v>3134</v>
      </c>
      <c r="P210" s="3" t="s">
        <v>3135</v>
      </c>
      <c r="Q210" s="3" t="s">
        <v>67</v>
      </c>
      <c r="R210" s="3"/>
      <c r="S210" s="3" t="str">
        <f>"Apr 27-29"</f>
        <v>Apr 27-29</v>
      </c>
    </row>
    <row r="211" spans="1:19" ht="39" x14ac:dyDescent="0.25">
      <c r="A211" s="1">
        <v>41033</v>
      </c>
      <c r="B211" s="1">
        <v>41035</v>
      </c>
      <c r="C211" s="2">
        <f t="shared" si="3"/>
        <v>3</v>
      </c>
      <c r="D211" s="6" t="s">
        <v>3205</v>
      </c>
      <c r="E211" s="3" t="s">
        <v>3206</v>
      </c>
      <c r="F211" s="4" t="s">
        <v>58</v>
      </c>
      <c r="G211" s="3" t="s">
        <v>3207</v>
      </c>
      <c r="H211" s="3" t="s">
        <v>3208</v>
      </c>
      <c r="I211" s="3" t="s">
        <v>530</v>
      </c>
      <c r="J211" s="3" t="s">
        <v>61</v>
      </c>
      <c r="K211" s="3">
        <v>67460</v>
      </c>
      <c r="L211" s="3" t="s">
        <v>3209</v>
      </c>
      <c r="M211" s="3" t="s">
        <v>2395</v>
      </c>
      <c r="N211" s="3" t="s">
        <v>532</v>
      </c>
      <c r="O211" s="3" t="s">
        <v>3210</v>
      </c>
      <c r="P211" s="3" t="s">
        <v>1516</v>
      </c>
      <c r="Q211" s="3"/>
      <c r="R211" s="3"/>
      <c r="S211" s="3" t="str">
        <f>"May 4-6"</f>
        <v>May 4-6</v>
      </c>
    </row>
    <row r="212" spans="1:19" ht="51.75" x14ac:dyDescent="0.25">
      <c r="A212" s="1">
        <v>41053</v>
      </c>
      <c r="B212" s="1">
        <v>41055</v>
      </c>
      <c r="C212" s="2">
        <f t="shared" si="3"/>
        <v>3</v>
      </c>
      <c r="D212" s="6" t="s">
        <v>3303</v>
      </c>
      <c r="E212" s="3" t="s">
        <v>3304</v>
      </c>
      <c r="F212" s="4" t="s">
        <v>58</v>
      </c>
      <c r="G212" s="3" t="s">
        <v>3305</v>
      </c>
      <c r="H212" s="3"/>
      <c r="I212" s="3" t="s">
        <v>85</v>
      </c>
      <c r="J212" s="3" t="s">
        <v>61</v>
      </c>
      <c r="K212" s="3">
        <v>67501</v>
      </c>
      <c r="L212" s="3" t="s">
        <v>3306</v>
      </c>
      <c r="M212" s="3"/>
      <c r="N212" s="3"/>
      <c r="O212" s="3" t="s">
        <v>3307</v>
      </c>
      <c r="P212" s="3"/>
      <c r="Q212" s="3" t="s">
        <v>67</v>
      </c>
      <c r="R212" s="3"/>
      <c r="S212" s="3" t="str">
        <f>"May 24-26"</f>
        <v>May 24-26</v>
      </c>
    </row>
    <row r="213" spans="1:19" ht="39" x14ac:dyDescent="0.25">
      <c r="A213" s="1">
        <v>41055</v>
      </c>
      <c r="B213" s="1">
        <v>41057</v>
      </c>
      <c r="C213" s="2">
        <f t="shared" si="3"/>
        <v>3</v>
      </c>
      <c r="D213" s="6" t="s">
        <v>3322</v>
      </c>
      <c r="E213" s="3" t="s">
        <v>3323</v>
      </c>
      <c r="F213" s="4" t="s">
        <v>58</v>
      </c>
      <c r="G213" s="3" t="s">
        <v>3324</v>
      </c>
      <c r="H213" s="3" t="s">
        <v>962</v>
      </c>
      <c r="I213" s="3" t="s">
        <v>963</v>
      </c>
      <c r="J213" s="3" t="s">
        <v>61</v>
      </c>
      <c r="K213" s="3">
        <v>67550</v>
      </c>
      <c r="L213" s="3" t="s">
        <v>964</v>
      </c>
      <c r="M213" s="3"/>
      <c r="N213" s="3"/>
      <c r="O213" s="3" t="s">
        <v>965</v>
      </c>
      <c r="P213" s="3" t="s">
        <v>966</v>
      </c>
      <c r="Q213" s="3" t="s">
        <v>67</v>
      </c>
      <c r="R213" s="3"/>
      <c r="S213" s="3" t="str">
        <f>"May 26-28"</f>
        <v>May 26-28</v>
      </c>
    </row>
    <row r="214" spans="1:19" ht="26.25" x14ac:dyDescent="0.25">
      <c r="A214" s="1">
        <v>41095</v>
      </c>
      <c r="B214" s="1">
        <v>41097</v>
      </c>
      <c r="C214" s="2">
        <f t="shared" si="3"/>
        <v>3</v>
      </c>
      <c r="D214" s="6" t="s">
        <v>3621</v>
      </c>
      <c r="E214" s="3" t="s">
        <v>3622</v>
      </c>
      <c r="F214" s="4" t="s">
        <v>58</v>
      </c>
      <c r="G214" s="3" t="s">
        <v>2279</v>
      </c>
      <c r="H214" s="3"/>
      <c r="I214" s="3" t="s">
        <v>105</v>
      </c>
      <c r="J214" s="3" t="s">
        <v>61</v>
      </c>
      <c r="K214" s="3">
        <v>66044</v>
      </c>
      <c r="L214" s="3" t="s">
        <v>3623</v>
      </c>
      <c r="M214" s="3"/>
      <c r="N214" s="3"/>
      <c r="O214" s="3"/>
      <c r="P214" s="3" t="s">
        <v>3624</v>
      </c>
      <c r="Q214" s="3" t="s">
        <v>67</v>
      </c>
      <c r="R214" s="3" t="s">
        <v>67</v>
      </c>
      <c r="S214" s="3" t="str">
        <f>"Jul 5-7"</f>
        <v>Jul 5-7</v>
      </c>
    </row>
    <row r="215" spans="1:19" ht="26.25" x14ac:dyDescent="0.25">
      <c r="A215" s="1">
        <v>41153</v>
      </c>
      <c r="B215" s="1">
        <v>41155</v>
      </c>
      <c r="C215" s="2">
        <f t="shared" si="3"/>
        <v>3</v>
      </c>
      <c r="D215" s="6" t="s">
        <v>3870</v>
      </c>
      <c r="E215" s="3" t="s">
        <v>3871</v>
      </c>
      <c r="F215" s="4" t="s">
        <v>58</v>
      </c>
      <c r="G215" s="3" t="s">
        <v>961</v>
      </c>
      <c r="H215" s="3" t="s">
        <v>2597</v>
      </c>
      <c r="I215" s="3" t="s">
        <v>963</v>
      </c>
      <c r="J215" s="3" t="s">
        <v>61</v>
      </c>
      <c r="K215" s="3">
        <v>67550</v>
      </c>
      <c r="L215" s="3" t="s">
        <v>964</v>
      </c>
      <c r="M215" s="3"/>
      <c r="N215" s="3"/>
      <c r="O215" s="3" t="s">
        <v>965</v>
      </c>
      <c r="P215" s="3" t="s">
        <v>966</v>
      </c>
      <c r="Q215" s="3" t="s">
        <v>67</v>
      </c>
      <c r="R215" s="3"/>
      <c r="S215" s="3" t="str">
        <f>"Sep 1-3"</f>
        <v>Sep 1-3</v>
      </c>
    </row>
    <row r="216" spans="1:19" ht="26.25" x14ac:dyDescent="0.25">
      <c r="A216" s="1">
        <v>41166</v>
      </c>
      <c r="B216" s="1">
        <v>41168</v>
      </c>
      <c r="C216" s="2">
        <f t="shared" si="3"/>
        <v>3</v>
      </c>
      <c r="D216" s="6" t="s">
        <v>3937</v>
      </c>
      <c r="E216" s="3" t="s">
        <v>3938</v>
      </c>
      <c r="F216" s="4" t="s">
        <v>58</v>
      </c>
      <c r="G216" s="3" t="s">
        <v>3150</v>
      </c>
      <c r="H216" s="3"/>
      <c r="I216" s="3" t="s">
        <v>3150</v>
      </c>
      <c r="J216" s="3" t="s">
        <v>61</v>
      </c>
      <c r="K216" s="3">
        <v>66538</v>
      </c>
      <c r="L216" s="3" t="s">
        <v>3742</v>
      </c>
      <c r="M216" s="3"/>
      <c r="N216" s="3"/>
      <c r="O216" s="3" t="s">
        <v>3152</v>
      </c>
      <c r="P216" s="3" t="s">
        <v>3743</v>
      </c>
      <c r="Q216" s="3"/>
      <c r="R216" s="3"/>
      <c r="S216" s="3" t="str">
        <f>"Sep 14-16"</f>
        <v>Sep 14-16</v>
      </c>
    </row>
    <row r="217" spans="1:19" ht="51.75" x14ac:dyDescent="0.25">
      <c r="A217" s="1">
        <v>41172</v>
      </c>
      <c r="B217" s="1">
        <v>41174</v>
      </c>
      <c r="C217" s="2">
        <f t="shared" si="3"/>
        <v>3</v>
      </c>
      <c r="D217" s="6" t="s">
        <v>3959</v>
      </c>
      <c r="E217" s="3" t="s">
        <v>3960</v>
      </c>
      <c r="F217" s="4" t="s">
        <v>58</v>
      </c>
      <c r="G217" s="3" t="s">
        <v>3961</v>
      </c>
      <c r="H217" s="3"/>
      <c r="I217" s="3" t="s">
        <v>2047</v>
      </c>
      <c r="J217" s="3" t="s">
        <v>61</v>
      </c>
      <c r="K217" s="3">
        <v>66050</v>
      </c>
      <c r="L217" s="3" t="s">
        <v>2770</v>
      </c>
      <c r="M217" s="3"/>
      <c r="N217" s="3" t="s">
        <v>2770</v>
      </c>
      <c r="O217" s="3" t="s">
        <v>2771</v>
      </c>
      <c r="P217" s="3" t="s">
        <v>2050</v>
      </c>
      <c r="Q217" s="3" t="s">
        <v>67</v>
      </c>
      <c r="R217" s="3"/>
      <c r="S217" s="3" t="str">
        <f>"Sep 20-22"</f>
        <v>Sep 20-22</v>
      </c>
    </row>
    <row r="218" spans="1:19" ht="26.25" x14ac:dyDescent="0.25">
      <c r="A218" s="1">
        <v>40816</v>
      </c>
      <c r="B218" s="1">
        <v>40817</v>
      </c>
      <c r="C218" s="2">
        <f t="shared" si="3"/>
        <v>2</v>
      </c>
      <c r="D218" s="6" t="s">
        <v>433</v>
      </c>
      <c r="E218" s="3" t="s">
        <v>434</v>
      </c>
      <c r="F218" s="4" t="s">
        <v>58</v>
      </c>
      <c r="G218" s="3">
        <v>14</v>
      </c>
      <c r="H218" s="3"/>
      <c r="I218" s="3" t="s">
        <v>125</v>
      </c>
      <c r="J218" s="3" t="s">
        <v>61</v>
      </c>
      <c r="K218" s="3">
        <v>67801</v>
      </c>
      <c r="L218" s="3" t="s">
        <v>435</v>
      </c>
      <c r="M218" s="3"/>
      <c r="N218" s="3"/>
      <c r="O218" s="3"/>
      <c r="P218" s="3"/>
      <c r="Q218" s="3" t="s">
        <v>67</v>
      </c>
      <c r="R218" s="3" t="s">
        <v>67</v>
      </c>
      <c r="S218" s="3" t="str">
        <f>"Sep 30-Oct 1"</f>
        <v>Sep 30-Oct 1</v>
      </c>
    </row>
    <row r="219" spans="1:19" ht="26.25" x14ac:dyDescent="0.25">
      <c r="A219" s="1">
        <v>40817</v>
      </c>
      <c r="B219" s="1">
        <v>40818</v>
      </c>
      <c r="C219" s="2">
        <f t="shared" si="3"/>
        <v>2</v>
      </c>
      <c r="D219" s="6" t="s">
        <v>690</v>
      </c>
      <c r="E219" s="3" t="s">
        <v>691</v>
      </c>
      <c r="F219" s="4" t="s">
        <v>58</v>
      </c>
      <c r="G219" s="3" t="s">
        <v>692</v>
      </c>
      <c r="H219" s="3"/>
      <c r="I219" s="3" t="s">
        <v>325</v>
      </c>
      <c r="J219" s="3" t="s">
        <v>61</v>
      </c>
      <c r="K219" s="3">
        <v>66840</v>
      </c>
      <c r="L219" s="3" t="s">
        <v>326</v>
      </c>
      <c r="M219" s="3"/>
      <c r="N219" s="3"/>
      <c r="O219" s="3"/>
      <c r="P219" s="3" t="s">
        <v>327</v>
      </c>
      <c r="Q219" s="3" t="s">
        <v>67</v>
      </c>
      <c r="R219" s="3" t="s">
        <v>67</v>
      </c>
      <c r="S219" s="3" t="str">
        <f t="shared" ref="S219:S224" si="4">"Oct 1-2"</f>
        <v>Oct 1-2</v>
      </c>
    </row>
    <row r="220" spans="1:19" ht="26.25" x14ac:dyDescent="0.25">
      <c r="A220" s="1">
        <v>40817</v>
      </c>
      <c r="B220" s="1">
        <v>40818</v>
      </c>
      <c r="C220" s="2">
        <f t="shared" si="3"/>
        <v>2</v>
      </c>
      <c r="D220" s="6" t="s">
        <v>654</v>
      </c>
      <c r="E220" s="3" t="s">
        <v>3992</v>
      </c>
      <c r="F220" s="4" t="s">
        <v>58</v>
      </c>
      <c r="G220" s="3" t="s">
        <v>655</v>
      </c>
      <c r="H220" s="3" t="s">
        <v>656</v>
      </c>
      <c r="I220" s="3" t="s">
        <v>227</v>
      </c>
      <c r="J220" s="3" t="s">
        <v>61</v>
      </c>
      <c r="K220" s="3">
        <v>67410</v>
      </c>
      <c r="L220" s="3" t="s">
        <v>657</v>
      </c>
      <c r="M220" s="3" t="s">
        <v>658</v>
      </c>
      <c r="N220" s="3"/>
      <c r="O220" s="3" t="s">
        <v>659</v>
      </c>
      <c r="P220" s="3" t="s">
        <v>660</v>
      </c>
      <c r="Q220" s="3"/>
      <c r="R220" s="3" t="s">
        <v>67</v>
      </c>
      <c r="S220" s="3" t="str">
        <f t="shared" si="4"/>
        <v>Oct 1-2</v>
      </c>
    </row>
    <row r="221" spans="1:19" ht="26.25" x14ac:dyDescent="0.25">
      <c r="A221" s="1">
        <v>40817</v>
      </c>
      <c r="B221" s="1">
        <v>40818</v>
      </c>
      <c r="C221" s="2">
        <f t="shared" si="3"/>
        <v>2</v>
      </c>
      <c r="D221" s="6" t="s">
        <v>661</v>
      </c>
      <c r="E221" s="3" t="s">
        <v>662</v>
      </c>
      <c r="F221" s="4" t="s">
        <v>58</v>
      </c>
      <c r="G221" s="3" t="s">
        <v>663</v>
      </c>
      <c r="H221" s="3"/>
      <c r="I221" s="3" t="s">
        <v>165</v>
      </c>
      <c r="J221" s="3" t="s">
        <v>61</v>
      </c>
      <c r="K221" s="3">
        <v>66085</v>
      </c>
      <c r="L221" s="3" t="s">
        <v>166</v>
      </c>
      <c r="M221" s="3"/>
      <c r="N221" s="3"/>
      <c r="O221" s="3"/>
      <c r="P221" s="3" t="s">
        <v>664</v>
      </c>
      <c r="Q221" s="3" t="s">
        <v>67</v>
      </c>
      <c r="R221" s="3" t="s">
        <v>67</v>
      </c>
      <c r="S221" s="3" t="str">
        <f t="shared" si="4"/>
        <v>Oct 1-2</v>
      </c>
    </row>
    <row r="222" spans="1:19" ht="26.25" x14ac:dyDescent="0.25">
      <c r="A222" s="1">
        <v>40817</v>
      </c>
      <c r="B222" s="1">
        <v>40818</v>
      </c>
      <c r="C222" s="2">
        <f t="shared" si="3"/>
        <v>2</v>
      </c>
      <c r="D222" s="6" t="s">
        <v>674</v>
      </c>
      <c r="E222" s="3" t="s">
        <v>675</v>
      </c>
      <c r="F222" s="4" t="s">
        <v>58</v>
      </c>
      <c r="G222" s="3" t="s">
        <v>676</v>
      </c>
      <c r="H222" s="3"/>
      <c r="I222" s="3" t="s">
        <v>105</v>
      </c>
      <c r="J222" s="3" t="s">
        <v>61</v>
      </c>
      <c r="K222" s="3">
        <v>66044</v>
      </c>
      <c r="L222" s="3" t="s">
        <v>677</v>
      </c>
      <c r="M222" s="3"/>
      <c r="N222" s="3"/>
      <c r="O222" s="3"/>
      <c r="P222" s="3"/>
      <c r="Q222" s="3"/>
      <c r="R222" s="3" t="s">
        <v>67</v>
      </c>
      <c r="S222" s="3" t="str">
        <f t="shared" si="4"/>
        <v>Oct 1-2</v>
      </c>
    </row>
    <row r="223" spans="1:19" ht="26.25" x14ac:dyDescent="0.25">
      <c r="A223" s="1">
        <v>40817</v>
      </c>
      <c r="B223" s="1">
        <v>40818</v>
      </c>
      <c r="C223" s="2">
        <f t="shared" si="3"/>
        <v>2</v>
      </c>
      <c r="D223" s="6" t="s">
        <v>678</v>
      </c>
      <c r="E223" s="3" t="s">
        <v>679</v>
      </c>
      <c r="F223" s="4" t="s">
        <v>58</v>
      </c>
      <c r="G223" s="3" t="s">
        <v>680</v>
      </c>
      <c r="H223" s="3"/>
      <c r="I223" s="3" t="s">
        <v>210</v>
      </c>
      <c r="J223" s="3" t="s">
        <v>61</v>
      </c>
      <c r="K223" s="3">
        <v>66002</v>
      </c>
      <c r="L223" s="3" t="s">
        <v>681</v>
      </c>
      <c r="M223" s="3" t="s">
        <v>273</v>
      </c>
      <c r="N223" s="3"/>
      <c r="O223" s="3" t="s">
        <v>682</v>
      </c>
      <c r="P223" s="3"/>
      <c r="Q223" s="3"/>
      <c r="R223" s="3" t="s">
        <v>67</v>
      </c>
      <c r="S223" s="3" t="str">
        <f t="shared" si="4"/>
        <v>Oct 1-2</v>
      </c>
    </row>
    <row r="224" spans="1:19" ht="26.25" x14ac:dyDescent="0.25">
      <c r="A224" s="1">
        <v>40817</v>
      </c>
      <c r="B224" s="1">
        <v>40818</v>
      </c>
      <c r="C224" s="2">
        <f t="shared" si="3"/>
        <v>2</v>
      </c>
      <c r="D224" s="6" t="s">
        <v>693</v>
      </c>
      <c r="E224" s="3" t="s">
        <v>694</v>
      </c>
      <c r="F224" s="4" t="s">
        <v>58</v>
      </c>
      <c r="G224" s="3" t="s">
        <v>695</v>
      </c>
      <c r="H224" s="3"/>
      <c r="I224" s="3" t="s">
        <v>686</v>
      </c>
      <c r="J224" s="3" t="s">
        <v>61</v>
      </c>
      <c r="K224" s="3">
        <v>66547</v>
      </c>
      <c r="L224" s="3" t="s">
        <v>687</v>
      </c>
      <c r="M224" s="3"/>
      <c r="N224" s="3"/>
      <c r="O224" s="3" t="s">
        <v>696</v>
      </c>
      <c r="P224" s="3" t="s">
        <v>689</v>
      </c>
      <c r="Q224" s="3" t="s">
        <v>67</v>
      </c>
      <c r="R224" s="3"/>
      <c r="S224" s="3" t="str">
        <f t="shared" si="4"/>
        <v>Oct 1-2</v>
      </c>
    </row>
    <row r="225" spans="1:19" ht="26.25" x14ac:dyDescent="0.25">
      <c r="A225" s="1">
        <v>40819</v>
      </c>
      <c r="B225" s="1">
        <v>40820</v>
      </c>
      <c r="C225" s="2">
        <f t="shared" si="3"/>
        <v>2</v>
      </c>
      <c r="D225" s="6" t="s">
        <v>770</v>
      </c>
      <c r="E225" s="3" t="s">
        <v>771</v>
      </c>
      <c r="F225" s="4" t="s">
        <v>58</v>
      </c>
      <c r="G225" s="3" t="s">
        <v>772</v>
      </c>
      <c r="H225" s="3"/>
      <c r="I225" s="3" t="s">
        <v>303</v>
      </c>
      <c r="J225" s="3" t="s">
        <v>61</v>
      </c>
      <c r="K225" s="3">
        <v>66503</v>
      </c>
      <c r="L225" s="3" t="s">
        <v>773</v>
      </c>
      <c r="M225" s="3" t="s">
        <v>774</v>
      </c>
      <c r="N225" s="3"/>
      <c r="O225" s="3"/>
      <c r="P225" s="3" t="s">
        <v>775</v>
      </c>
      <c r="Q225" s="3" t="s">
        <v>67</v>
      </c>
      <c r="R225" s="3"/>
      <c r="S225" s="3" t="str">
        <f>"Oct 3-4"</f>
        <v>Oct 3-4</v>
      </c>
    </row>
    <row r="226" spans="1:19" ht="39" x14ac:dyDescent="0.25">
      <c r="A226" s="16">
        <v>40823</v>
      </c>
      <c r="B226" s="16">
        <v>40824</v>
      </c>
      <c r="C226" s="2">
        <f t="shared" si="3"/>
        <v>2</v>
      </c>
      <c r="D226" s="27" t="s">
        <v>885</v>
      </c>
      <c r="E226" s="7" t="s">
        <v>886</v>
      </c>
      <c r="F226" s="4" t="s">
        <v>58</v>
      </c>
      <c r="G226" s="7" t="s">
        <v>887</v>
      </c>
      <c r="H226" s="7"/>
      <c r="I226" s="7" t="s">
        <v>888</v>
      </c>
      <c r="J226" s="7" t="s">
        <v>61</v>
      </c>
      <c r="K226" s="7">
        <v>66032</v>
      </c>
      <c r="L226" s="7" t="s">
        <v>889</v>
      </c>
      <c r="M226" s="7"/>
      <c r="N226" s="7"/>
      <c r="O226" s="7" t="s">
        <v>417</v>
      </c>
      <c r="P226" s="7" t="s">
        <v>890</v>
      </c>
      <c r="Q226" s="7" t="s">
        <v>67</v>
      </c>
      <c r="R226" s="7"/>
      <c r="S226" s="7" t="str">
        <f t="shared" ref="S226:S232" si="5">"Oct 7-8"</f>
        <v>Oct 7-8</v>
      </c>
    </row>
    <row r="227" spans="1:19" ht="26.25" x14ac:dyDescent="0.25">
      <c r="A227" s="1">
        <v>40823</v>
      </c>
      <c r="B227" s="1">
        <v>40824</v>
      </c>
      <c r="C227" s="2">
        <f t="shared" si="3"/>
        <v>2</v>
      </c>
      <c r="D227" s="6" t="s">
        <v>880</v>
      </c>
      <c r="E227" s="3" t="s">
        <v>881</v>
      </c>
      <c r="F227" s="4" t="s">
        <v>58</v>
      </c>
      <c r="G227" s="3" t="s">
        <v>882</v>
      </c>
      <c r="H227" s="3" t="s">
        <v>883</v>
      </c>
      <c r="I227" s="3" t="s">
        <v>105</v>
      </c>
      <c r="J227" s="3" t="s">
        <v>61</v>
      </c>
      <c r="K227" s="3">
        <v>66044</v>
      </c>
      <c r="L227" s="3" t="s">
        <v>884</v>
      </c>
      <c r="M227" s="3"/>
      <c r="N227" s="3"/>
      <c r="O227" s="3"/>
      <c r="P227" s="3"/>
      <c r="Q227" s="3" t="s">
        <v>67</v>
      </c>
      <c r="R227" s="3" t="s">
        <v>67</v>
      </c>
      <c r="S227" s="3" t="str">
        <f t="shared" si="5"/>
        <v>Oct 7-8</v>
      </c>
    </row>
    <row r="228" spans="1:19" ht="26.25" x14ac:dyDescent="0.25">
      <c r="A228" s="1">
        <v>40823</v>
      </c>
      <c r="B228" s="1">
        <v>40824</v>
      </c>
      <c r="C228" s="2">
        <f t="shared" si="3"/>
        <v>2</v>
      </c>
      <c r="D228" s="6" t="s">
        <v>891</v>
      </c>
      <c r="E228" s="3" t="s">
        <v>892</v>
      </c>
      <c r="F228" s="4" t="s">
        <v>58</v>
      </c>
      <c r="G228" s="3" t="s">
        <v>893</v>
      </c>
      <c r="H228" s="3"/>
      <c r="I228" s="3" t="s">
        <v>894</v>
      </c>
      <c r="J228" s="3" t="s">
        <v>61</v>
      </c>
      <c r="K228" s="3">
        <v>66901</v>
      </c>
      <c r="L228" s="3" t="s">
        <v>572</v>
      </c>
      <c r="M228" s="3"/>
      <c r="N228" s="3"/>
      <c r="O228" s="3" t="s">
        <v>895</v>
      </c>
      <c r="P228" s="3" t="s">
        <v>896</v>
      </c>
      <c r="Q228" s="3" t="s">
        <v>67</v>
      </c>
      <c r="R228" s="3" t="s">
        <v>67</v>
      </c>
      <c r="S228" s="3" t="str">
        <f t="shared" si="5"/>
        <v>Oct 7-8</v>
      </c>
    </row>
    <row r="229" spans="1:19" x14ac:dyDescent="0.25">
      <c r="A229" s="1">
        <v>40823</v>
      </c>
      <c r="B229" s="1">
        <v>40824</v>
      </c>
      <c r="C229" s="2">
        <f t="shared" si="3"/>
        <v>2</v>
      </c>
      <c r="D229" s="6" t="s">
        <v>897</v>
      </c>
      <c r="E229" s="3" t="s">
        <v>897</v>
      </c>
      <c r="F229" s="4" t="s">
        <v>58</v>
      </c>
      <c r="G229" s="3" t="s">
        <v>297</v>
      </c>
      <c r="H229" s="3"/>
      <c r="I229" s="3" t="s">
        <v>60</v>
      </c>
      <c r="J229" s="3" t="s">
        <v>61</v>
      </c>
      <c r="K229" s="3">
        <v>66606</v>
      </c>
      <c r="L229" s="3" t="s">
        <v>298</v>
      </c>
      <c r="M229" s="3"/>
      <c r="N229" s="3"/>
      <c r="O229" s="3"/>
      <c r="P229" s="3" t="s">
        <v>299</v>
      </c>
      <c r="Q229" s="3" t="s">
        <v>67</v>
      </c>
      <c r="R229" s="3" t="s">
        <v>67</v>
      </c>
      <c r="S229" s="3" t="str">
        <f t="shared" si="5"/>
        <v>Oct 7-8</v>
      </c>
    </row>
    <row r="230" spans="1:19" ht="26.25" x14ac:dyDescent="0.25">
      <c r="A230" s="1">
        <v>40823</v>
      </c>
      <c r="B230" s="1">
        <v>40824</v>
      </c>
      <c r="C230" s="2">
        <f t="shared" si="3"/>
        <v>2</v>
      </c>
      <c r="D230" s="6" t="s">
        <v>898</v>
      </c>
      <c r="E230" s="3" t="s">
        <v>899</v>
      </c>
      <c r="F230" s="4" t="s">
        <v>58</v>
      </c>
      <c r="G230" s="3" t="s">
        <v>900</v>
      </c>
      <c r="H230" s="3" t="s">
        <v>901</v>
      </c>
      <c r="I230" s="3" t="s">
        <v>245</v>
      </c>
      <c r="J230" s="3" t="s">
        <v>61</v>
      </c>
      <c r="K230" s="3">
        <v>67401</v>
      </c>
      <c r="L230" s="3" t="s">
        <v>902</v>
      </c>
      <c r="M230" s="3" t="s">
        <v>903</v>
      </c>
      <c r="N230" s="3"/>
      <c r="O230" s="3" t="s">
        <v>904</v>
      </c>
      <c r="P230" s="3" t="s">
        <v>905</v>
      </c>
      <c r="Q230" s="3" t="s">
        <v>67</v>
      </c>
      <c r="R230" s="3" t="s">
        <v>67</v>
      </c>
      <c r="S230" s="3" t="str">
        <f t="shared" si="5"/>
        <v>Oct 7-8</v>
      </c>
    </row>
    <row r="231" spans="1:19" ht="26.25" x14ac:dyDescent="0.25">
      <c r="A231" s="1">
        <v>40823</v>
      </c>
      <c r="B231" s="1">
        <v>40824</v>
      </c>
      <c r="C231" s="2">
        <f t="shared" si="3"/>
        <v>2</v>
      </c>
      <c r="D231" s="6" t="s">
        <v>906</v>
      </c>
      <c r="E231" s="3" t="s">
        <v>906</v>
      </c>
      <c r="F231" s="4" t="s">
        <v>58</v>
      </c>
      <c r="G231" s="3" t="s">
        <v>907</v>
      </c>
      <c r="H231" s="3"/>
      <c r="I231" s="3" t="s">
        <v>60</v>
      </c>
      <c r="J231" s="3" t="s">
        <v>61</v>
      </c>
      <c r="K231" s="3">
        <v>66605</v>
      </c>
      <c r="L231" s="3" t="s">
        <v>908</v>
      </c>
      <c r="M231" s="3"/>
      <c r="N231" s="3"/>
      <c r="O231" s="3"/>
      <c r="P231" s="3"/>
      <c r="Q231" s="3" t="s">
        <v>67</v>
      </c>
      <c r="R231" s="3"/>
      <c r="S231" s="3" t="str">
        <f t="shared" si="5"/>
        <v>Oct 7-8</v>
      </c>
    </row>
    <row r="232" spans="1:19" ht="26.25" x14ac:dyDescent="0.25">
      <c r="A232" s="1">
        <v>40823</v>
      </c>
      <c r="B232" s="1">
        <v>40824</v>
      </c>
      <c r="C232" s="2">
        <f t="shared" si="3"/>
        <v>2</v>
      </c>
      <c r="D232" s="6" t="s">
        <v>909</v>
      </c>
      <c r="E232" s="3" t="s">
        <v>909</v>
      </c>
      <c r="F232" s="4" t="s">
        <v>58</v>
      </c>
      <c r="G232" s="3" t="s">
        <v>810</v>
      </c>
      <c r="H232" s="3" t="s">
        <v>811</v>
      </c>
      <c r="I232" s="3" t="s">
        <v>60</v>
      </c>
      <c r="J232" s="3" t="s">
        <v>61</v>
      </c>
      <c r="K232" s="3">
        <v>66612</v>
      </c>
      <c r="L232" s="3" t="s">
        <v>812</v>
      </c>
      <c r="M232" s="3"/>
      <c r="N232" s="3"/>
      <c r="O232" s="3"/>
      <c r="P232" s="3" t="s">
        <v>814</v>
      </c>
      <c r="Q232" s="3" t="s">
        <v>67</v>
      </c>
      <c r="R232" s="3" t="s">
        <v>67</v>
      </c>
      <c r="S232" s="3" t="str">
        <f t="shared" si="5"/>
        <v>Oct 7-8</v>
      </c>
    </row>
    <row r="233" spans="1:19" ht="39" x14ac:dyDescent="0.25">
      <c r="A233" s="1">
        <v>40824</v>
      </c>
      <c r="B233" s="1">
        <v>40825</v>
      </c>
      <c r="C233" s="2">
        <f t="shared" si="3"/>
        <v>2</v>
      </c>
      <c r="D233" s="6" t="s">
        <v>1089</v>
      </c>
      <c r="E233" s="3" t="s">
        <v>1090</v>
      </c>
      <c r="F233" s="4" t="s">
        <v>58</v>
      </c>
      <c r="G233" s="3" t="s">
        <v>1091</v>
      </c>
      <c r="H233" s="3" t="s">
        <v>1092</v>
      </c>
      <c r="I233" s="3" t="s">
        <v>963</v>
      </c>
      <c r="J233" s="3" t="s">
        <v>61</v>
      </c>
      <c r="K233" s="3">
        <v>67550</v>
      </c>
      <c r="L233" s="3" t="s">
        <v>1093</v>
      </c>
      <c r="M233" s="3"/>
      <c r="N233" s="3" t="s">
        <v>1094</v>
      </c>
      <c r="O233" s="3" t="s">
        <v>1095</v>
      </c>
      <c r="P233" s="3" t="s">
        <v>1096</v>
      </c>
      <c r="Q233" s="3" t="s">
        <v>67</v>
      </c>
      <c r="R233" s="3" t="s">
        <v>67</v>
      </c>
      <c r="S233" s="3" t="str">
        <f t="shared" ref="S233:S239" si="6">"Oct 8-9"</f>
        <v>Oct 8-9</v>
      </c>
    </row>
    <row r="234" spans="1:19" ht="26.25" x14ac:dyDescent="0.25">
      <c r="A234" s="1">
        <v>40824</v>
      </c>
      <c r="B234" s="1">
        <v>40825</v>
      </c>
      <c r="C234" s="2">
        <f t="shared" si="3"/>
        <v>2</v>
      </c>
      <c r="D234" s="6" t="s">
        <v>1107</v>
      </c>
      <c r="E234" s="3" t="s">
        <v>1108</v>
      </c>
      <c r="F234" s="4" t="s">
        <v>58</v>
      </c>
      <c r="G234" s="3" t="s">
        <v>692</v>
      </c>
      <c r="H234" s="3"/>
      <c r="I234" s="3" t="s">
        <v>325</v>
      </c>
      <c r="J234" s="3" t="s">
        <v>61</v>
      </c>
      <c r="K234" s="3">
        <v>67042</v>
      </c>
      <c r="L234" s="3" t="s">
        <v>326</v>
      </c>
      <c r="M234" s="3"/>
      <c r="N234" s="3"/>
      <c r="O234" s="3"/>
      <c r="P234" s="3"/>
      <c r="Q234" s="3" t="s">
        <v>67</v>
      </c>
      <c r="R234" s="3" t="s">
        <v>67</v>
      </c>
      <c r="S234" s="3" t="str">
        <f t="shared" si="6"/>
        <v>Oct 8-9</v>
      </c>
    </row>
    <row r="235" spans="1:19" ht="26.25" x14ac:dyDescent="0.25">
      <c r="A235" s="1">
        <v>40824</v>
      </c>
      <c r="B235" s="1">
        <v>40825</v>
      </c>
      <c r="C235" s="2">
        <f t="shared" si="3"/>
        <v>2</v>
      </c>
      <c r="D235" s="6" t="s">
        <v>1063</v>
      </c>
      <c r="E235" s="3" t="s">
        <v>1064</v>
      </c>
      <c r="F235" s="4" t="s">
        <v>58</v>
      </c>
      <c r="G235" s="3" t="s">
        <v>1065</v>
      </c>
      <c r="H235" s="3" t="s">
        <v>1066</v>
      </c>
      <c r="I235" s="3" t="s">
        <v>245</v>
      </c>
      <c r="J235" s="3" t="s">
        <v>61</v>
      </c>
      <c r="K235" s="3">
        <v>67401</v>
      </c>
      <c r="L235" s="3" t="s">
        <v>1067</v>
      </c>
      <c r="M235" s="3"/>
      <c r="N235" s="3"/>
      <c r="O235" s="3" t="s">
        <v>1068</v>
      </c>
      <c r="P235" s="3" t="s">
        <v>1069</v>
      </c>
      <c r="Q235" s="3" t="s">
        <v>67</v>
      </c>
      <c r="R235" s="3" t="s">
        <v>67</v>
      </c>
      <c r="S235" s="3" t="str">
        <f t="shared" si="6"/>
        <v>Oct 8-9</v>
      </c>
    </row>
    <row r="236" spans="1:19" ht="26.25" x14ac:dyDescent="0.25">
      <c r="A236" s="1">
        <v>40824</v>
      </c>
      <c r="B236" s="1">
        <v>40825</v>
      </c>
      <c r="C236" s="2">
        <f t="shared" si="3"/>
        <v>2</v>
      </c>
      <c r="D236" s="6" t="s">
        <v>1070</v>
      </c>
      <c r="E236" s="3" t="s">
        <v>1070</v>
      </c>
      <c r="F236" s="4" t="s">
        <v>58</v>
      </c>
      <c r="G236" s="3" t="s">
        <v>1071</v>
      </c>
      <c r="H236" s="3"/>
      <c r="I236" s="3" t="s">
        <v>60</v>
      </c>
      <c r="J236" s="3" t="s">
        <v>61</v>
      </c>
      <c r="K236" s="3">
        <v>66619</v>
      </c>
      <c r="L236" s="3" t="s">
        <v>1072</v>
      </c>
      <c r="M236" s="3" t="s">
        <v>1073</v>
      </c>
      <c r="N236" s="3"/>
      <c r="O236" s="3"/>
      <c r="P236" s="3" t="s">
        <v>1074</v>
      </c>
      <c r="Q236" s="3" t="s">
        <v>67</v>
      </c>
      <c r="R236" s="3" t="s">
        <v>67</v>
      </c>
      <c r="S236" s="3" t="str">
        <f t="shared" si="6"/>
        <v>Oct 8-9</v>
      </c>
    </row>
    <row r="237" spans="1:19" ht="26.25" x14ac:dyDescent="0.25">
      <c r="A237" s="1">
        <v>40824</v>
      </c>
      <c r="B237" s="1">
        <v>40825</v>
      </c>
      <c r="C237" s="2">
        <f t="shared" si="3"/>
        <v>2</v>
      </c>
      <c r="D237" s="6" t="s">
        <v>1075</v>
      </c>
      <c r="E237" s="3" t="s">
        <v>1076</v>
      </c>
      <c r="F237" s="4" t="s">
        <v>58</v>
      </c>
      <c r="G237" s="3" t="s">
        <v>1077</v>
      </c>
      <c r="H237" s="3" t="s">
        <v>1078</v>
      </c>
      <c r="I237" s="3" t="s">
        <v>179</v>
      </c>
      <c r="J237" s="3" t="s">
        <v>61</v>
      </c>
      <c r="K237" s="3">
        <v>66508</v>
      </c>
      <c r="L237" s="3" t="s">
        <v>1079</v>
      </c>
      <c r="M237" s="3"/>
      <c r="N237" s="3"/>
      <c r="O237" s="3" t="s">
        <v>1080</v>
      </c>
      <c r="P237" s="3"/>
      <c r="Q237" s="3"/>
      <c r="R237" s="3"/>
      <c r="S237" s="3" t="str">
        <f t="shared" si="6"/>
        <v>Oct 8-9</v>
      </c>
    </row>
    <row r="238" spans="1:19" ht="39" x14ac:dyDescent="0.25">
      <c r="A238" s="1">
        <v>40824</v>
      </c>
      <c r="B238" s="1">
        <v>40825</v>
      </c>
      <c r="C238" s="2">
        <f t="shared" si="3"/>
        <v>2</v>
      </c>
      <c r="D238" s="6" t="s">
        <v>1097</v>
      </c>
      <c r="E238" s="3" t="s">
        <v>1098</v>
      </c>
      <c r="F238" s="4" t="s">
        <v>58</v>
      </c>
      <c r="G238" s="3" t="s">
        <v>1099</v>
      </c>
      <c r="H238" s="3" t="s">
        <v>1100</v>
      </c>
      <c r="I238" s="3" t="s">
        <v>1101</v>
      </c>
      <c r="J238" s="3" t="s">
        <v>61</v>
      </c>
      <c r="K238" s="3">
        <v>66056</v>
      </c>
      <c r="L238" s="3" t="s">
        <v>1102</v>
      </c>
      <c r="M238" s="3"/>
      <c r="N238" s="3"/>
      <c r="O238" s="3"/>
      <c r="P238" s="3" t="s">
        <v>1103</v>
      </c>
      <c r="Q238" s="3" t="s">
        <v>67</v>
      </c>
      <c r="R238" s="3"/>
      <c r="S238" s="3" t="str">
        <f t="shared" si="6"/>
        <v>Oct 8-9</v>
      </c>
    </row>
    <row r="239" spans="1:19" ht="26.25" x14ac:dyDescent="0.25">
      <c r="A239" s="1">
        <v>40824</v>
      </c>
      <c r="B239" s="1">
        <v>40825</v>
      </c>
      <c r="C239" s="2">
        <f t="shared" si="3"/>
        <v>2</v>
      </c>
      <c r="D239" s="6" t="s">
        <v>1104</v>
      </c>
      <c r="E239" s="3" t="s">
        <v>1104</v>
      </c>
      <c r="F239" s="4" t="s">
        <v>58</v>
      </c>
      <c r="G239" s="3" t="s">
        <v>1105</v>
      </c>
      <c r="H239" s="3" t="s">
        <v>1106</v>
      </c>
      <c r="I239" s="3" t="s">
        <v>60</v>
      </c>
      <c r="J239" s="3" t="s">
        <v>61</v>
      </c>
      <c r="K239" s="3">
        <v>66612</v>
      </c>
      <c r="L239" s="3" t="s">
        <v>812</v>
      </c>
      <c r="M239" s="3"/>
      <c r="N239" s="3"/>
      <c r="O239" s="3"/>
      <c r="P239" s="3" t="s">
        <v>814</v>
      </c>
      <c r="Q239" s="3" t="s">
        <v>67</v>
      </c>
      <c r="R239" s="3" t="s">
        <v>67</v>
      </c>
      <c r="S239" s="3" t="str">
        <f t="shared" si="6"/>
        <v>Oct 8-9</v>
      </c>
    </row>
    <row r="240" spans="1:19" ht="26.25" x14ac:dyDescent="0.25">
      <c r="A240" s="1">
        <v>40830</v>
      </c>
      <c r="B240" s="1">
        <v>40831</v>
      </c>
      <c r="C240" s="2">
        <f t="shared" si="3"/>
        <v>2</v>
      </c>
      <c r="D240" s="6" t="s">
        <v>1209</v>
      </c>
      <c r="E240" s="3" t="s">
        <v>1210</v>
      </c>
      <c r="F240" s="4" t="s">
        <v>58</v>
      </c>
      <c r="G240" s="3" t="s">
        <v>1211</v>
      </c>
      <c r="H240" s="3" t="s">
        <v>1212</v>
      </c>
      <c r="I240" s="3" t="s">
        <v>888</v>
      </c>
      <c r="J240" s="3" t="s">
        <v>61</v>
      </c>
      <c r="K240" s="3">
        <v>66032</v>
      </c>
      <c r="L240" s="3" t="s">
        <v>1213</v>
      </c>
      <c r="M240" s="3"/>
      <c r="N240" s="3"/>
      <c r="O240" s="3" t="s">
        <v>1214</v>
      </c>
      <c r="P240" s="3" t="s">
        <v>1215</v>
      </c>
      <c r="Q240" s="3" t="s">
        <v>67</v>
      </c>
      <c r="R240" s="3"/>
      <c r="S240" s="3" t="str">
        <f>"Oct 14-15"</f>
        <v>Oct 14-15</v>
      </c>
    </row>
    <row r="241" spans="1:19" ht="26.25" x14ac:dyDescent="0.25">
      <c r="A241" s="1">
        <v>40830</v>
      </c>
      <c r="B241" s="1">
        <v>40831</v>
      </c>
      <c r="C241" s="2">
        <f t="shared" si="3"/>
        <v>2</v>
      </c>
      <c r="D241" s="6" t="s">
        <v>1216</v>
      </c>
      <c r="E241" s="3" t="s">
        <v>1217</v>
      </c>
      <c r="F241" s="5" t="s">
        <v>58</v>
      </c>
      <c r="G241" s="3" t="s">
        <v>1218</v>
      </c>
      <c r="H241" s="3"/>
      <c r="I241" s="3" t="s">
        <v>1174</v>
      </c>
      <c r="J241" s="3" t="s">
        <v>61</v>
      </c>
      <c r="K241" s="3">
        <v>66215</v>
      </c>
      <c r="L241" s="3" t="s">
        <v>1219</v>
      </c>
      <c r="M241" s="3"/>
      <c r="N241" s="3"/>
      <c r="O241" s="3" t="s">
        <v>1220</v>
      </c>
      <c r="P241" s="3" t="s">
        <v>1221</v>
      </c>
      <c r="Q241" s="3" t="s">
        <v>67</v>
      </c>
      <c r="R241" s="3"/>
      <c r="S241" s="3" t="str">
        <f>"Oct 14-15"</f>
        <v>Oct 14-15</v>
      </c>
    </row>
    <row r="242" spans="1:19" ht="26.25" x14ac:dyDescent="0.25">
      <c r="A242" s="1">
        <v>40831</v>
      </c>
      <c r="B242" s="1">
        <v>40832</v>
      </c>
      <c r="C242" s="2">
        <f t="shared" si="3"/>
        <v>2</v>
      </c>
      <c r="D242" s="6" t="s">
        <v>1313</v>
      </c>
      <c r="E242" s="3" t="s">
        <v>1314</v>
      </c>
      <c r="F242" s="4" t="s">
        <v>58</v>
      </c>
      <c r="G242" s="3" t="s">
        <v>692</v>
      </c>
      <c r="H242" s="3"/>
      <c r="I242" s="3" t="s">
        <v>325</v>
      </c>
      <c r="J242" s="3" t="s">
        <v>61</v>
      </c>
      <c r="K242" s="3">
        <v>66840</v>
      </c>
      <c r="L242" s="3" t="s">
        <v>326</v>
      </c>
      <c r="M242" s="3"/>
      <c r="N242" s="3"/>
      <c r="O242" s="3"/>
      <c r="P242" s="3" t="s">
        <v>327</v>
      </c>
      <c r="Q242" s="3" t="s">
        <v>67</v>
      </c>
      <c r="R242" s="3" t="s">
        <v>67</v>
      </c>
      <c r="S242" s="3" t="str">
        <f>"Oct 15-16"</f>
        <v>Oct 15-16</v>
      </c>
    </row>
    <row r="243" spans="1:19" ht="26.25" x14ac:dyDescent="0.25">
      <c r="A243" s="1">
        <v>40831</v>
      </c>
      <c r="B243" s="1">
        <v>40832</v>
      </c>
      <c r="C243" s="2">
        <f t="shared" si="3"/>
        <v>2</v>
      </c>
      <c r="D243" s="6" t="s">
        <v>1315</v>
      </c>
      <c r="E243" s="3" t="s">
        <v>1316</v>
      </c>
      <c r="F243" s="4" t="s">
        <v>58</v>
      </c>
      <c r="G243" s="3" t="s">
        <v>1317</v>
      </c>
      <c r="H243" s="3"/>
      <c r="I243" s="3" t="s">
        <v>518</v>
      </c>
      <c r="J243" s="3" t="s">
        <v>61</v>
      </c>
      <c r="K243" s="3">
        <v>66006</v>
      </c>
      <c r="L243" s="3" t="s">
        <v>1318</v>
      </c>
      <c r="M243" s="3"/>
      <c r="N243" s="3"/>
      <c r="O243" s="3"/>
      <c r="P243" s="3" t="s">
        <v>1319</v>
      </c>
      <c r="Q243" s="3"/>
      <c r="R243" s="3"/>
      <c r="S243" s="3" t="str">
        <f>"Oct 15-16"</f>
        <v>Oct 15-16</v>
      </c>
    </row>
    <row r="244" spans="1:19" ht="26.25" x14ac:dyDescent="0.25">
      <c r="A244" s="1">
        <v>40831</v>
      </c>
      <c r="B244" s="1">
        <v>40832</v>
      </c>
      <c r="C244" s="2">
        <f t="shared" si="3"/>
        <v>2</v>
      </c>
      <c r="D244" s="6" t="s">
        <v>1320</v>
      </c>
      <c r="E244" s="3" t="s">
        <v>1321</v>
      </c>
      <c r="F244" s="4" t="s">
        <v>58</v>
      </c>
      <c r="G244" s="3" t="s">
        <v>1322</v>
      </c>
      <c r="H244" s="3"/>
      <c r="I244" s="3" t="s">
        <v>172</v>
      </c>
      <c r="J244" s="3" t="s">
        <v>61</v>
      </c>
      <c r="K244" s="3">
        <v>66092</v>
      </c>
      <c r="L244" s="3" t="s">
        <v>173</v>
      </c>
      <c r="M244" s="3"/>
      <c r="N244" s="3"/>
      <c r="O244" s="3" t="s">
        <v>1323</v>
      </c>
      <c r="P244" s="3" t="s">
        <v>1324</v>
      </c>
      <c r="Q244" s="3"/>
      <c r="R244" s="3"/>
      <c r="S244" s="3" t="str">
        <f>"Oct 15-16"</f>
        <v>Oct 15-16</v>
      </c>
    </row>
    <row r="245" spans="1:19" ht="26.25" x14ac:dyDescent="0.25">
      <c r="A245" s="1">
        <v>40837</v>
      </c>
      <c r="B245" s="1">
        <v>40838</v>
      </c>
      <c r="C245" s="2">
        <f t="shared" si="3"/>
        <v>2</v>
      </c>
      <c r="D245" s="6" t="s">
        <v>1389</v>
      </c>
      <c r="E245" s="3" t="s">
        <v>1390</v>
      </c>
      <c r="F245" s="4" t="s">
        <v>58</v>
      </c>
      <c r="G245" s="3" t="s">
        <v>1391</v>
      </c>
      <c r="H245" s="3" t="s">
        <v>1392</v>
      </c>
      <c r="I245" s="3" t="s">
        <v>193</v>
      </c>
      <c r="J245" s="3" t="s">
        <v>61</v>
      </c>
      <c r="K245" s="3">
        <v>67530</v>
      </c>
      <c r="L245" s="3" t="s">
        <v>1393</v>
      </c>
      <c r="M245" s="3"/>
      <c r="N245" s="3"/>
      <c r="O245" s="3"/>
      <c r="P245" s="3"/>
      <c r="Q245" s="3"/>
      <c r="R245" s="3"/>
      <c r="S245" s="3" t="str">
        <f>"Oct 21-22"</f>
        <v>Oct 21-22</v>
      </c>
    </row>
    <row r="246" spans="1:19" ht="26.25" x14ac:dyDescent="0.25">
      <c r="A246" s="1">
        <v>40837</v>
      </c>
      <c r="B246" s="1">
        <v>40838</v>
      </c>
      <c r="C246" s="2">
        <f t="shared" si="3"/>
        <v>2</v>
      </c>
      <c r="D246" s="6" t="s">
        <v>1394</v>
      </c>
      <c r="E246" s="3" t="s">
        <v>1395</v>
      </c>
      <c r="F246" s="4" t="s">
        <v>58</v>
      </c>
      <c r="G246" s="3" t="s">
        <v>1396</v>
      </c>
      <c r="H246" s="3"/>
      <c r="I246" s="3" t="s">
        <v>261</v>
      </c>
      <c r="J246" s="3" t="s">
        <v>61</v>
      </c>
      <c r="K246" s="3">
        <v>67042</v>
      </c>
      <c r="L246" s="3" t="s">
        <v>1397</v>
      </c>
      <c r="M246" s="3"/>
      <c r="N246" s="3"/>
      <c r="O246" s="3" t="s">
        <v>1398</v>
      </c>
      <c r="P246" s="3" t="s">
        <v>1399</v>
      </c>
      <c r="Q246" s="3" t="s">
        <v>67</v>
      </c>
      <c r="R246" s="3" t="s">
        <v>67</v>
      </c>
      <c r="S246" s="3" t="str">
        <f>"Oct 21-22"</f>
        <v>Oct 21-22</v>
      </c>
    </row>
    <row r="247" spans="1:19" ht="39" x14ac:dyDescent="0.25">
      <c r="A247" s="1">
        <v>40837</v>
      </c>
      <c r="B247" s="1">
        <v>40838</v>
      </c>
      <c r="C247" s="2">
        <f t="shared" si="3"/>
        <v>2</v>
      </c>
      <c r="D247" s="6" t="s">
        <v>1400</v>
      </c>
      <c r="E247" s="3" t="s">
        <v>1401</v>
      </c>
      <c r="F247" s="4" t="s">
        <v>58</v>
      </c>
      <c r="G247" s="3" t="s">
        <v>1402</v>
      </c>
      <c r="H247" s="3"/>
      <c r="I247" s="3" t="s">
        <v>1403</v>
      </c>
      <c r="J247" s="3" t="s">
        <v>61</v>
      </c>
      <c r="K247" s="3">
        <v>66711</v>
      </c>
      <c r="L247" s="3" t="s">
        <v>1404</v>
      </c>
      <c r="M247" s="3"/>
      <c r="N247" s="3"/>
      <c r="O247" s="3"/>
      <c r="P247" s="3" t="s">
        <v>1405</v>
      </c>
      <c r="Q247" s="3"/>
      <c r="R247" s="3"/>
      <c r="S247" s="3" t="str">
        <f>"Oct 21-22"</f>
        <v>Oct 21-22</v>
      </c>
    </row>
    <row r="248" spans="1:19" ht="26.25" x14ac:dyDescent="0.25">
      <c r="A248" s="1">
        <v>40838</v>
      </c>
      <c r="B248" s="1">
        <v>40839</v>
      </c>
      <c r="C248" s="2">
        <f t="shared" si="3"/>
        <v>2</v>
      </c>
      <c r="D248" s="6" t="s">
        <v>1462</v>
      </c>
      <c r="E248" s="3" t="s">
        <v>1462</v>
      </c>
      <c r="F248" s="4" t="s">
        <v>58</v>
      </c>
      <c r="G248" s="3" t="s">
        <v>1071</v>
      </c>
      <c r="H248" s="3"/>
      <c r="I248" s="3" t="s">
        <v>60</v>
      </c>
      <c r="J248" s="3" t="s">
        <v>61</v>
      </c>
      <c r="K248" s="3">
        <v>66619</v>
      </c>
      <c r="L248" s="3" t="s">
        <v>1072</v>
      </c>
      <c r="M248" s="3" t="s">
        <v>1073</v>
      </c>
      <c r="N248" s="3"/>
      <c r="O248" s="3"/>
      <c r="P248" s="3" t="s">
        <v>1463</v>
      </c>
      <c r="Q248" s="3" t="s">
        <v>67</v>
      </c>
      <c r="R248" s="3" t="s">
        <v>67</v>
      </c>
      <c r="S248" s="3" t="str">
        <f>"Oct 22-23"</f>
        <v>Oct 22-23</v>
      </c>
    </row>
    <row r="249" spans="1:19" ht="26.25" x14ac:dyDescent="0.25">
      <c r="A249" s="1">
        <v>40843</v>
      </c>
      <c r="B249" s="1">
        <v>40844</v>
      </c>
      <c r="C249" s="2">
        <f t="shared" si="3"/>
        <v>2</v>
      </c>
      <c r="D249" s="6" t="s">
        <v>1517</v>
      </c>
      <c r="E249" s="3" t="s">
        <v>1518</v>
      </c>
      <c r="F249" s="4" t="s">
        <v>58</v>
      </c>
      <c r="G249" s="3" t="s">
        <v>1519</v>
      </c>
      <c r="H249" s="3" t="s">
        <v>1520</v>
      </c>
      <c r="I249" s="3" t="s">
        <v>179</v>
      </c>
      <c r="J249" s="3" t="s">
        <v>61</v>
      </c>
      <c r="K249" s="3">
        <v>66508</v>
      </c>
      <c r="L249" s="3" t="s">
        <v>1521</v>
      </c>
      <c r="M249" s="3"/>
      <c r="N249" s="3"/>
      <c r="O249" s="3" t="s">
        <v>1522</v>
      </c>
      <c r="P249" s="3"/>
      <c r="Q249" s="3"/>
      <c r="R249" s="3" t="s">
        <v>67</v>
      </c>
      <c r="S249" s="3" t="str">
        <f>"Oct 27-28"</f>
        <v>Oct 27-28</v>
      </c>
    </row>
    <row r="250" spans="1:19" ht="26.25" x14ac:dyDescent="0.25">
      <c r="A250" s="1">
        <v>40844</v>
      </c>
      <c r="B250" s="1">
        <v>40845</v>
      </c>
      <c r="C250" s="2">
        <f t="shared" si="3"/>
        <v>2</v>
      </c>
      <c r="D250" s="6" t="s">
        <v>1565</v>
      </c>
      <c r="E250" s="3" t="s">
        <v>1566</v>
      </c>
      <c r="F250" s="4" t="s">
        <v>58</v>
      </c>
      <c r="G250" s="3" t="s">
        <v>1567</v>
      </c>
      <c r="H250" s="3"/>
      <c r="I250" s="3" t="s">
        <v>210</v>
      </c>
      <c r="J250" s="3" t="s">
        <v>61</v>
      </c>
      <c r="K250" s="3">
        <v>66002</v>
      </c>
      <c r="L250" s="3" t="s">
        <v>681</v>
      </c>
      <c r="M250" s="3"/>
      <c r="N250" s="3"/>
      <c r="O250" s="3"/>
      <c r="P250" s="3"/>
      <c r="Q250" s="3"/>
      <c r="R250" s="3"/>
      <c r="S250" s="3" t="str">
        <f>"Oct 28-29"</f>
        <v>Oct 28-29</v>
      </c>
    </row>
    <row r="251" spans="1:19" ht="26.25" x14ac:dyDescent="0.25">
      <c r="A251" s="1">
        <v>40844</v>
      </c>
      <c r="B251" s="1">
        <v>40845</v>
      </c>
      <c r="C251" s="2">
        <f t="shared" si="3"/>
        <v>2</v>
      </c>
      <c r="D251" s="6" t="s">
        <v>1568</v>
      </c>
      <c r="E251" s="3" t="s">
        <v>1569</v>
      </c>
      <c r="F251" s="4" t="s">
        <v>58</v>
      </c>
      <c r="G251" s="3" t="s">
        <v>1570</v>
      </c>
      <c r="H251" s="3" t="s">
        <v>1571</v>
      </c>
      <c r="I251" s="3" t="s">
        <v>865</v>
      </c>
      <c r="J251" s="3" t="s">
        <v>61</v>
      </c>
      <c r="K251" s="3">
        <v>67601</v>
      </c>
      <c r="L251" s="3" t="s">
        <v>1572</v>
      </c>
      <c r="M251" s="3"/>
      <c r="N251" s="3"/>
      <c r="O251" s="3" t="s">
        <v>1573</v>
      </c>
      <c r="P251" s="3" t="s">
        <v>1574</v>
      </c>
      <c r="Q251" s="3" t="s">
        <v>67</v>
      </c>
      <c r="R251" s="3" t="s">
        <v>67</v>
      </c>
      <c r="S251" s="3" t="str">
        <f>"Oct 28-29"</f>
        <v>Oct 28-29</v>
      </c>
    </row>
    <row r="252" spans="1:19" ht="26.25" x14ac:dyDescent="0.25">
      <c r="A252" s="1">
        <v>40844</v>
      </c>
      <c r="B252" s="1">
        <v>40845</v>
      </c>
      <c r="C252" s="2">
        <f t="shared" si="3"/>
        <v>2</v>
      </c>
      <c r="D252" s="6" t="s">
        <v>1575</v>
      </c>
      <c r="E252" s="3" t="s">
        <v>1576</v>
      </c>
      <c r="F252" s="8" t="s">
        <v>58</v>
      </c>
      <c r="G252" s="3" t="s">
        <v>479</v>
      </c>
      <c r="H252" s="3" t="s">
        <v>480</v>
      </c>
      <c r="I252" s="3" t="s">
        <v>245</v>
      </c>
      <c r="J252" s="3" t="s">
        <v>61</v>
      </c>
      <c r="K252" s="3">
        <v>67401</v>
      </c>
      <c r="L252" s="3" t="s">
        <v>1577</v>
      </c>
      <c r="M252" s="3"/>
      <c r="N252" s="3"/>
      <c r="O252" s="3" t="s">
        <v>1578</v>
      </c>
      <c r="P252" s="3"/>
      <c r="Q252" s="3" t="s">
        <v>67</v>
      </c>
      <c r="R252" s="3" t="s">
        <v>67</v>
      </c>
      <c r="S252" s="3" t="str">
        <f>"Oct 28-29"</f>
        <v>Oct 28-29</v>
      </c>
    </row>
    <row r="253" spans="1:19" ht="26.25" x14ac:dyDescent="0.25">
      <c r="A253" s="1">
        <v>40845</v>
      </c>
      <c r="B253" s="1">
        <v>40846</v>
      </c>
      <c r="C253" s="2">
        <f t="shared" si="3"/>
        <v>2</v>
      </c>
      <c r="D253" s="6" t="s">
        <v>1651</v>
      </c>
      <c r="E253" s="3" t="s">
        <v>1652</v>
      </c>
      <c r="F253" s="5" t="s">
        <v>58</v>
      </c>
      <c r="G253" s="3" t="s">
        <v>692</v>
      </c>
      <c r="H253" s="3"/>
      <c r="I253" s="3" t="s">
        <v>325</v>
      </c>
      <c r="J253" s="3" t="s">
        <v>61</v>
      </c>
      <c r="K253" s="3">
        <v>66840</v>
      </c>
      <c r="L253" s="3" t="s">
        <v>326</v>
      </c>
      <c r="M253" s="3"/>
      <c r="N253" s="3"/>
      <c r="O253" s="3"/>
      <c r="P253" s="3" t="s">
        <v>327</v>
      </c>
      <c r="Q253" s="3" t="s">
        <v>67</v>
      </c>
      <c r="R253" s="3" t="s">
        <v>67</v>
      </c>
      <c r="S253" s="3" t="str">
        <f>"Oct 29-30"</f>
        <v>Oct 29-30</v>
      </c>
    </row>
    <row r="254" spans="1:19" ht="26.25" x14ac:dyDescent="0.25">
      <c r="A254" s="1">
        <v>40845</v>
      </c>
      <c r="B254" s="1">
        <v>40846</v>
      </c>
      <c r="C254" s="2">
        <f t="shared" si="3"/>
        <v>2</v>
      </c>
      <c r="D254" s="6" t="s">
        <v>1645</v>
      </c>
      <c r="E254" s="3" t="s">
        <v>1646</v>
      </c>
      <c r="F254" s="4" t="s">
        <v>58</v>
      </c>
      <c r="G254" s="3" t="s">
        <v>1647</v>
      </c>
      <c r="H254" s="3" t="s">
        <v>1648</v>
      </c>
      <c r="I254" s="3" t="s">
        <v>105</v>
      </c>
      <c r="J254" s="3" t="s">
        <v>61</v>
      </c>
      <c r="K254" s="3">
        <v>66044</v>
      </c>
      <c r="L254" s="3" t="s">
        <v>1649</v>
      </c>
      <c r="M254" s="3"/>
      <c r="N254" s="3"/>
      <c r="O254" s="3"/>
      <c r="P254" s="3" t="s">
        <v>1650</v>
      </c>
      <c r="Q254" s="3"/>
      <c r="R254" s="3"/>
      <c r="S254" s="3" t="str">
        <f>"Oct 29-30"</f>
        <v>Oct 29-30</v>
      </c>
    </row>
    <row r="255" spans="1:19" x14ac:dyDescent="0.25">
      <c r="A255" s="1">
        <v>40851</v>
      </c>
      <c r="B255" s="1">
        <v>40852</v>
      </c>
      <c r="C255" s="2">
        <f t="shared" si="3"/>
        <v>2</v>
      </c>
      <c r="D255" s="6" t="s">
        <v>1704</v>
      </c>
      <c r="E255" s="3" t="s">
        <v>1704</v>
      </c>
      <c r="F255" s="4" t="s">
        <v>58</v>
      </c>
      <c r="G255" s="3" t="s">
        <v>811</v>
      </c>
      <c r="H255" s="3" t="s">
        <v>810</v>
      </c>
      <c r="I255" s="3" t="s">
        <v>60</v>
      </c>
      <c r="J255" s="3" t="s">
        <v>61</v>
      </c>
      <c r="K255" s="3">
        <v>66612</v>
      </c>
      <c r="L255" s="3" t="s">
        <v>812</v>
      </c>
      <c r="M255" s="3"/>
      <c r="N255" s="3"/>
      <c r="O255" s="3"/>
      <c r="P255" s="3" t="s">
        <v>814</v>
      </c>
      <c r="Q255" s="3" t="s">
        <v>67</v>
      </c>
      <c r="R255" s="3" t="s">
        <v>67</v>
      </c>
      <c r="S255" s="3" t="str">
        <f>"Nov 4-5"</f>
        <v>Nov 4-5</v>
      </c>
    </row>
    <row r="256" spans="1:19" ht="39" x14ac:dyDescent="0.25">
      <c r="A256" s="1">
        <v>40852</v>
      </c>
      <c r="B256" s="1">
        <v>40853</v>
      </c>
      <c r="C256" s="2">
        <f t="shared" si="3"/>
        <v>2</v>
      </c>
      <c r="D256" s="6" t="s">
        <v>1788</v>
      </c>
      <c r="E256" s="3" t="s">
        <v>1789</v>
      </c>
      <c r="F256" s="4" t="s">
        <v>58</v>
      </c>
      <c r="G256" s="3" t="s">
        <v>1790</v>
      </c>
      <c r="H256" s="3" t="s">
        <v>1791</v>
      </c>
      <c r="I256" s="3" t="s">
        <v>1021</v>
      </c>
      <c r="J256" s="3" t="s">
        <v>61</v>
      </c>
      <c r="K256" s="3">
        <v>67901</v>
      </c>
      <c r="L256" s="3" t="s">
        <v>1792</v>
      </c>
      <c r="M256" s="3"/>
      <c r="N256" s="3" t="s">
        <v>1793</v>
      </c>
      <c r="O256" s="3" t="s">
        <v>1794</v>
      </c>
      <c r="P256" s="3" t="s">
        <v>1795</v>
      </c>
      <c r="Q256" s="3" t="s">
        <v>67</v>
      </c>
      <c r="R256" s="3"/>
      <c r="S256" s="3" t="str">
        <f>"Nov 5-6"</f>
        <v>Nov 5-6</v>
      </c>
    </row>
    <row r="257" spans="1:19" ht="26.25" x14ac:dyDescent="0.25">
      <c r="A257" s="1">
        <v>40852</v>
      </c>
      <c r="B257" s="1">
        <v>40853</v>
      </c>
      <c r="C257" s="2">
        <f t="shared" si="3"/>
        <v>2</v>
      </c>
      <c r="D257" s="6" t="s">
        <v>1796</v>
      </c>
      <c r="E257" s="3" t="s">
        <v>1797</v>
      </c>
      <c r="F257" s="4" t="s">
        <v>58</v>
      </c>
      <c r="G257" s="3" t="s">
        <v>1798</v>
      </c>
      <c r="H257" s="3" t="s">
        <v>1799</v>
      </c>
      <c r="I257" s="3" t="s">
        <v>1800</v>
      </c>
      <c r="J257" s="3" t="s">
        <v>61</v>
      </c>
      <c r="K257" s="3">
        <v>66027</v>
      </c>
      <c r="L257" s="3" t="s">
        <v>1801</v>
      </c>
      <c r="M257" s="3"/>
      <c r="N257" s="3"/>
      <c r="O257" s="3"/>
      <c r="P257" s="3"/>
      <c r="Q257" s="3" t="s">
        <v>67</v>
      </c>
      <c r="R257" s="3"/>
      <c r="S257" s="3" t="str">
        <f>"Nov 5-6"</f>
        <v>Nov 5-6</v>
      </c>
    </row>
    <row r="258" spans="1:19" ht="26.25" x14ac:dyDescent="0.25">
      <c r="A258" s="1">
        <v>40852</v>
      </c>
      <c r="B258" s="1">
        <v>40853</v>
      </c>
      <c r="C258" s="2">
        <f t="shared" ref="C258:C321" si="7">(B258-A258)+1</f>
        <v>2</v>
      </c>
      <c r="D258" s="6" t="s">
        <v>1802</v>
      </c>
      <c r="E258" s="3" t="s">
        <v>1803</v>
      </c>
      <c r="F258" s="4" t="s">
        <v>58</v>
      </c>
      <c r="G258" s="3" t="s">
        <v>529</v>
      </c>
      <c r="H258" s="3"/>
      <c r="I258" s="3" t="s">
        <v>530</v>
      </c>
      <c r="J258" s="3" t="s">
        <v>61</v>
      </c>
      <c r="K258" s="3">
        <v>67460</v>
      </c>
      <c r="L258" s="3" t="s">
        <v>531</v>
      </c>
      <c r="M258" s="3"/>
      <c r="N258" s="3" t="s">
        <v>532</v>
      </c>
      <c r="O258" s="3" t="s">
        <v>533</v>
      </c>
      <c r="P258" s="3" t="s">
        <v>534</v>
      </c>
      <c r="Q258" s="3" t="s">
        <v>67</v>
      </c>
      <c r="R258" s="3"/>
      <c r="S258" s="3" t="str">
        <f>"Nov 5-6"</f>
        <v>Nov 5-6</v>
      </c>
    </row>
    <row r="259" spans="1:19" ht="26.25" x14ac:dyDescent="0.25">
      <c r="A259" s="1">
        <v>40852</v>
      </c>
      <c r="B259" s="1">
        <v>40853</v>
      </c>
      <c r="C259" s="2">
        <f t="shared" si="7"/>
        <v>2</v>
      </c>
      <c r="D259" s="6" t="s">
        <v>1804</v>
      </c>
      <c r="E259" s="3" t="s">
        <v>1805</v>
      </c>
      <c r="F259" s="4" t="s">
        <v>58</v>
      </c>
      <c r="G259" s="3" t="s">
        <v>1806</v>
      </c>
      <c r="H259" s="3"/>
      <c r="I259" s="3" t="s">
        <v>927</v>
      </c>
      <c r="J259" s="3" t="s">
        <v>61</v>
      </c>
      <c r="K259" s="3">
        <v>67428</v>
      </c>
      <c r="L259" s="3" t="s">
        <v>1807</v>
      </c>
      <c r="M259" s="3"/>
      <c r="N259" s="3"/>
      <c r="O259" s="3" t="s">
        <v>1808</v>
      </c>
      <c r="P259" s="3" t="s">
        <v>1809</v>
      </c>
      <c r="Q259" s="3" t="s">
        <v>67</v>
      </c>
      <c r="R259" s="3"/>
      <c r="S259" s="3" t="str">
        <f>"Nov 5-6"</f>
        <v>Nov 5-6</v>
      </c>
    </row>
    <row r="260" spans="1:19" x14ac:dyDescent="0.25">
      <c r="A260" s="1">
        <v>40858</v>
      </c>
      <c r="B260" s="1">
        <v>40859</v>
      </c>
      <c r="C260" s="2">
        <f t="shared" si="7"/>
        <v>2</v>
      </c>
      <c r="D260" s="6" t="s">
        <v>1903</v>
      </c>
      <c r="E260" s="3" t="s">
        <v>897</v>
      </c>
      <c r="F260" s="4" t="s">
        <v>58</v>
      </c>
      <c r="G260" s="3" t="s">
        <v>297</v>
      </c>
      <c r="H260" s="3"/>
      <c r="I260" s="3" t="s">
        <v>60</v>
      </c>
      <c r="J260" s="3" t="s">
        <v>61</v>
      </c>
      <c r="K260" s="3">
        <v>66606</v>
      </c>
      <c r="L260" s="3" t="s">
        <v>298</v>
      </c>
      <c r="M260" s="3"/>
      <c r="N260" s="3"/>
      <c r="O260" s="3"/>
      <c r="P260" s="3" t="s">
        <v>299</v>
      </c>
      <c r="Q260" s="3" t="s">
        <v>67</v>
      </c>
      <c r="R260" s="3" t="s">
        <v>67</v>
      </c>
      <c r="S260" s="3" t="str">
        <f>"Nov 11-12"</f>
        <v>Nov 11-12</v>
      </c>
    </row>
    <row r="261" spans="1:19" x14ac:dyDescent="0.25">
      <c r="A261" s="1">
        <v>40858</v>
      </c>
      <c r="B261" s="1">
        <v>40859</v>
      </c>
      <c r="C261" s="2">
        <f t="shared" si="7"/>
        <v>2</v>
      </c>
      <c r="D261" s="6" t="s">
        <v>1903</v>
      </c>
      <c r="E261" s="3" t="s">
        <v>897</v>
      </c>
      <c r="F261" s="4" t="s">
        <v>58</v>
      </c>
      <c r="G261" s="3" t="s">
        <v>297</v>
      </c>
      <c r="H261" s="3"/>
      <c r="I261" s="3" t="s">
        <v>60</v>
      </c>
      <c r="J261" s="3" t="s">
        <v>61</v>
      </c>
      <c r="K261" s="3">
        <v>66606</v>
      </c>
      <c r="L261" s="3" t="s">
        <v>298</v>
      </c>
      <c r="M261" s="3"/>
      <c r="N261" s="3"/>
      <c r="O261" s="3"/>
      <c r="P261" s="3" t="s">
        <v>299</v>
      </c>
      <c r="Q261" s="3" t="s">
        <v>67</v>
      </c>
      <c r="R261" s="3" t="s">
        <v>67</v>
      </c>
      <c r="S261" s="3" t="str">
        <f>"Nov 11-12"</f>
        <v>Nov 11-12</v>
      </c>
    </row>
    <row r="262" spans="1:19" ht="26.25" x14ac:dyDescent="0.25">
      <c r="A262" s="1">
        <v>40858</v>
      </c>
      <c r="B262" s="1">
        <v>40859</v>
      </c>
      <c r="C262" s="2">
        <f t="shared" si="7"/>
        <v>2</v>
      </c>
      <c r="D262" s="6" t="s">
        <v>1904</v>
      </c>
      <c r="E262" s="3" t="s">
        <v>1905</v>
      </c>
      <c r="F262" s="5" t="s">
        <v>58</v>
      </c>
      <c r="G262" s="3" t="s">
        <v>1906</v>
      </c>
      <c r="H262" s="3"/>
      <c r="I262" s="3" t="s">
        <v>210</v>
      </c>
      <c r="J262" s="3" t="s">
        <v>61</v>
      </c>
      <c r="K262" s="3">
        <v>66002</v>
      </c>
      <c r="L262" s="3" t="s">
        <v>1907</v>
      </c>
      <c r="M262" s="3"/>
      <c r="N262" s="3"/>
      <c r="O262" s="3" t="s">
        <v>1908</v>
      </c>
      <c r="P262" s="3" t="s">
        <v>1909</v>
      </c>
      <c r="Q262" s="3"/>
      <c r="R262" s="3"/>
      <c r="S262" s="3" t="str">
        <f>"Nov 11-12"</f>
        <v>Nov 11-12</v>
      </c>
    </row>
    <row r="263" spans="1:19" ht="26.25" x14ac:dyDescent="0.25">
      <c r="A263" s="1">
        <v>40858</v>
      </c>
      <c r="B263" s="1">
        <v>40859</v>
      </c>
      <c r="C263" s="2">
        <f t="shared" si="7"/>
        <v>2</v>
      </c>
      <c r="D263" s="6" t="s">
        <v>1910</v>
      </c>
      <c r="E263" s="3" t="s">
        <v>1911</v>
      </c>
      <c r="F263" s="4" t="s">
        <v>58</v>
      </c>
      <c r="G263" s="3" t="s">
        <v>810</v>
      </c>
      <c r="H263" s="3" t="s">
        <v>811</v>
      </c>
      <c r="I263" s="3" t="s">
        <v>60</v>
      </c>
      <c r="J263" s="3" t="s">
        <v>61</v>
      </c>
      <c r="K263" s="3">
        <v>66612</v>
      </c>
      <c r="L263" s="3" t="s">
        <v>812</v>
      </c>
      <c r="M263" s="3"/>
      <c r="N263" s="3"/>
      <c r="O263" s="3"/>
      <c r="P263" s="3" t="s">
        <v>814</v>
      </c>
      <c r="Q263" s="3" t="s">
        <v>67</v>
      </c>
      <c r="R263" s="3" t="s">
        <v>67</v>
      </c>
      <c r="S263" s="3" t="str">
        <f>"Nov 11-12"</f>
        <v>Nov 11-12</v>
      </c>
    </row>
    <row r="264" spans="1:19" ht="26.25" x14ac:dyDescent="0.25">
      <c r="A264" s="1">
        <v>40865</v>
      </c>
      <c r="B264" s="1">
        <v>40866</v>
      </c>
      <c r="C264" s="2">
        <f t="shared" si="7"/>
        <v>2</v>
      </c>
      <c r="D264" s="6" t="s">
        <v>1980</v>
      </c>
      <c r="E264" s="3" t="s">
        <v>1980</v>
      </c>
      <c r="F264" s="4" t="s">
        <v>58</v>
      </c>
      <c r="G264" s="3" t="s">
        <v>810</v>
      </c>
      <c r="H264" s="3" t="s">
        <v>811</v>
      </c>
      <c r="I264" s="3" t="s">
        <v>60</v>
      </c>
      <c r="J264" s="3" t="s">
        <v>61</v>
      </c>
      <c r="K264" s="3">
        <v>66612</v>
      </c>
      <c r="L264" s="3" t="s">
        <v>812</v>
      </c>
      <c r="M264" s="3"/>
      <c r="N264" s="3"/>
      <c r="O264" s="3"/>
      <c r="P264" s="3" t="s">
        <v>814</v>
      </c>
      <c r="Q264" s="3" t="s">
        <v>67</v>
      </c>
      <c r="R264" s="3" t="s">
        <v>67</v>
      </c>
      <c r="S264" s="3" t="str">
        <f>"Nov 18-19"</f>
        <v>Nov 18-19</v>
      </c>
    </row>
    <row r="265" spans="1:19" ht="26.25" x14ac:dyDescent="0.25">
      <c r="A265" s="1">
        <v>40866</v>
      </c>
      <c r="B265" s="1">
        <v>40867</v>
      </c>
      <c r="C265" s="2">
        <f t="shared" si="7"/>
        <v>2</v>
      </c>
      <c r="D265" s="6" t="s">
        <v>2039</v>
      </c>
      <c r="E265" s="3" t="s">
        <v>2040</v>
      </c>
      <c r="F265" s="4" t="s">
        <v>58</v>
      </c>
      <c r="G265" s="3" t="s">
        <v>2041</v>
      </c>
      <c r="H265" s="3"/>
      <c r="I265" s="3" t="s">
        <v>558</v>
      </c>
      <c r="J265" s="3" t="s">
        <v>61</v>
      </c>
      <c r="K265" s="3">
        <v>67880</v>
      </c>
      <c r="L265" s="3" t="s">
        <v>2042</v>
      </c>
      <c r="M265" s="3"/>
      <c r="N265" s="3"/>
      <c r="O265" s="3" t="s">
        <v>2043</v>
      </c>
      <c r="P265" s="3"/>
      <c r="Q265" s="3"/>
      <c r="R265" s="3"/>
      <c r="S265" s="3" t="str">
        <f>"Nov 19-20"</f>
        <v>Nov 19-20</v>
      </c>
    </row>
    <row r="266" spans="1:19" ht="26.25" x14ac:dyDescent="0.25">
      <c r="A266" s="1">
        <v>40872</v>
      </c>
      <c r="B266" s="1">
        <v>40873</v>
      </c>
      <c r="C266" s="2">
        <f t="shared" si="7"/>
        <v>2</v>
      </c>
      <c r="D266" s="6" t="s">
        <v>1910</v>
      </c>
      <c r="E266" s="3" t="s">
        <v>1910</v>
      </c>
      <c r="F266" s="4" t="s">
        <v>58</v>
      </c>
      <c r="G266" s="3" t="s">
        <v>811</v>
      </c>
      <c r="H266" s="3" t="s">
        <v>810</v>
      </c>
      <c r="I266" s="3" t="s">
        <v>60</v>
      </c>
      <c r="J266" s="3" t="s">
        <v>61</v>
      </c>
      <c r="K266" s="3">
        <v>66612</v>
      </c>
      <c r="L266" s="3" t="s">
        <v>812</v>
      </c>
      <c r="M266" s="3"/>
      <c r="N266" s="3"/>
      <c r="O266" s="3"/>
      <c r="P266" s="3" t="s">
        <v>814</v>
      </c>
      <c r="Q266" s="3" t="s">
        <v>67</v>
      </c>
      <c r="R266" s="3" t="s">
        <v>67</v>
      </c>
      <c r="S266" s="3" t="str">
        <f>"Nov 25-26"</f>
        <v>Nov 25-26</v>
      </c>
    </row>
    <row r="267" spans="1:19" ht="26.25" x14ac:dyDescent="0.25">
      <c r="A267" s="1">
        <v>40879</v>
      </c>
      <c r="B267" s="1">
        <v>40880</v>
      </c>
      <c r="C267" s="2">
        <f t="shared" si="7"/>
        <v>2</v>
      </c>
      <c r="D267" s="6" t="s">
        <v>2281</v>
      </c>
      <c r="E267" s="3" t="s">
        <v>2282</v>
      </c>
      <c r="F267" s="4" t="s">
        <v>58</v>
      </c>
      <c r="G267" s="3" t="s">
        <v>781</v>
      </c>
      <c r="H267" s="3" t="s">
        <v>782</v>
      </c>
      <c r="I267" s="3" t="s">
        <v>236</v>
      </c>
      <c r="J267" s="3" t="s">
        <v>61</v>
      </c>
      <c r="K267" s="3">
        <v>67005</v>
      </c>
      <c r="L267" s="3" t="s">
        <v>783</v>
      </c>
      <c r="M267" s="3"/>
      <c r="N267" s="3"/>
      <c r="O267" s="3" t="s">
        <v>239</v>
      </c>
      <c r="P267" s="3" t="s">
        <v>784</v>
      </c>
      <c r="Q267" s="3" t="s">
        <v>67</v>
      </c>
      <c r="R267" s="3" t="s">
        <v>67</v>
      </c>
      <c r="S267" s="3" t="str">
        <f>"Dec 2-3"</f>
        <v>Dec 2-3</v>
      </c>
    </row>
    <row r="268" spans="1:19" ht="39" x14ac:dyDescent="0.25">
      <c r="A268" s="1">
        <v>40879</v>
      </c>
      <c r="B268" s="1">
        <v>40880</v>
      </c>
      <c r="C268" s="2">
        <f t="shared" si="7"/>
        <v>2</v>
      </c>
      <c r="D268" s="6" t="s">
        <v>1749</v>
      </c>
      <c r="E268" s="3" t="s">
        <v>2283</v>
      </c>
      <c r="F268" s="4" t="s">
        <v>58</v>
      </c>
      <c r="G268" s="3" t="s">
        <v>2284</v>
      </c>
      <c r="H268" s="3" t="s">
        <v>2285</v>
      </c>
      <c r="I268" s="3" t="s">
        <v>865</v>
      </c>
      <c r="J268" s="3" t="s">
        <v>61</v>
      </c>
      <c r="K268" s="3">
        <v>67601</v>
      </c>
      <c r="L268" s="3" t="s">
        <v>1669</v>
      </c>
      <c r="M268" s="3"/>
      <c r="N268" s="3" t="s">
        <v>1670</v>
      </c>
      <c r="O268" s="3" t="s">
        <v>1671</v>
      </c>
      <c r="P268" s="3" t="s">
        <v>1672</v>
      </c>
      <c r="Q268" s="3"/>
      <c r="R268" s="3"/>
      <c r="S268" s="3" t="str">
        <f>"Dec 2-3"</f>
        <v>Dec 2-3</v>
      </c>
    </row>
    <row r="269" spans="1:19" ht="39" x14ac:dyDescent="0.25">
      <c r="A269" s="1">
        <v>40879</v>
      </c>
      <c r="B269" s="1">
        <v>40880</v>
      </c>
      <c r="C269" s="2">
        <f t="shared" si="7"/>
        <v>2</v>
      </c>
      <c r="D269" s="6" t="s">
        <v>2286</v>
      </c>
      <c r="E269" s="3" t="s">
        <v>2287</v>
      </c>
      <c r="F269" s="4" t="s">
        <v>58</v>
      </c>
      <c r="G269" s="3" t="s">
        <v>2288</v>
      </c>
      <c r="H269" s="3" t="s">
        <v>2289</v>
      </c>
      <c r="I269" s="3" t="s">
        <v>797</v>
      </c>
      <c r="J269" s="3" t="s">
        <v>61</v>
      </c>
      <c r="K269" s="3">
        <v>66701</v>
      </c>
      <c r="L269" s="3" t="s">
        <v>2290</v>
      </c>
      <c r="M269" s="3"/>
      <c r="N269" s="3"/>
      <c r="O269" s="3" t="s">
        <v>2291</v>
      </c>
      <c r="P269" s="3" t="s">
        <v>2292</v>
      </c>
      <c r="Q269" s="3" t="s">
        <v>67</v>
      </c>
      <c r="R269" s="3" t="s">
        <v>67</v>
      </c>
      <c r="S269" s="3" t="str">
        <f>"Dec 2-3"</f>
        <v>Dec 2-3</v>
      </c>
    </row>
    <row r="270" spans="1:19" ht="51.75" x14ac:dyDescent="0.25">
      <c r="A270" s="1">
        <v>40879</v>
      </c>
      <c r="B270" s="1">
        <v>40880</v>
      </c>
      <c r="C270" s="2">
        <f t="shared" si="7"/>
        <v>2</v>
      </c>
      <c r="D270" s="6" t="s">
        <v>2293</v>
      </c>
      <c r="E270" s="3" t="s">
        <v>847</v>
      </c>
      <c r="F270" s="4" t="s">
        <v>58</v>
      </c>
      <c r="G270" s="3" t="s">
        <v>848</v>
      </c>
      <c r="H270" s="3"/>
      <c r="I270" s="3" t="s">
        <v>71</v>
      </c>
      <c r="J270" s="3" t="s">
        <v>61</v>
      </c>
      <c r="K270" s="3">
        <v>67203</v>
      </c>
      <c r="L270" s="3" t="s">
        <v>849</v>
      </c>
      <c r="M270" s="3"/>
      <c r="N270" s="3"/>
      <c r="O270" s="3"/>
      <c r="P270" s="3" t="s">
        <v>850</v>
      </c>
      <c r="Q270" s="3" t="s">
        <v>67</v>
      </c>
      <c r="R270" s="3" t="s">
        <v>67</v>
      </c>
      <c r="S270" s="3" t="str">
        <f>"Dec 2-3"</f>
        <v>Dec 2-3</v>
      </c>
    </row>
    <row r="271" spans="1:19" ht="39" x14ac:dyDescent="0.25">
      <c r="A271" s="1">
        <v>40880</v>
      </c>
      <c r="B271" s="1">
        <v>40881</v>
      </c>
      <c r="C271" s="2">
        <f t="shared" si="7"/>
        <v>2</v>
      </c>
      <c r="D271" s="6" t="s">
        <v>2458</v>
      </c>
      <c r="E271" s="3" t="s">
        <v>2459</v>
      </c>
      <c r="F271" s="4" t="s">
        <v>58</v>
      </c>
      <c r="G271" s="3" t="s">
        <v>2460</v>
      </c>
      <c r="H271" s="3"/>
      <c r="I271" s="3" t="s">
        <v>2461</v>
      </c>
      <c r="J271" s="3" t="s">
        <v>61</v>
      </c>
      <c r="K271" s="3">
        <v>66413</v>
      </c>
      <c r="L271" s="3" t="s">
        <v>2462</v>
      </c>
      <c r="M271" s="3"/>
      <c r="N271" s="3"/>
      <c r="O271" s="3"/>
      <c r="P271" s="3" t="s">
        <v>2463</v>
      </c>
      <c r="Q271" s="3" t="s">
        <v>67</v>
      </c>
      <c r="R271" s="3"/>
      <c r="S271" s="3" t="str">
        <f>"Dec 3-4"</f>
        <v>Dec 3-4</v>
      </c>
    </row>
    <row r="272" spans="1:19" ht="39" x14ac:dyDescent="0.25">
      <c r="A272" s="1">
        <v>40880</v>
      </c>
      <c r="B272" s="1">
        <v>40881</v>
      </c>
      <c r="C272" s="2">
        <f t="shared" si="7"/>
        <v>2</v>
      </c>
      <c r="D272" s="6" t="s">
        <v>2464</v>
      </c>
      <c r="E272" s="3" t="s">
        <v>2465</v>
      </c>
      <c r="F272" s="4" t="s">
        <v>58</v>
      </c>
      <c r="G272" s="3" t="s">
        <v>2466</v>
      </c>
      <c r="H272" s="3"/>
      <c r="I272" s="3" t="s">
        <v>1021</v>
      </c>
      <c r="J272" s="3" t="s">
        <v>61</v>
      </c>
      <c r="K272" s="3">
        <v>67901</v>
      </c>
      <c r="L272" s="3" t="s">
        <v>2467</v>
      </c>
      <c r="M272" s="3"/>
      <c r="N272" s="3"/>
      <c r="O272" s="3"/>
      <c r="P272" s="3"/>
      <c r="Q272" s="3" t="s">
        <v>67</v>
      </c>
      <c r="R272" s="3"/>
      <c r="S272" s="3" t="str">
        <f>"Dec 3-4"</f>
        <v>Dec 3-4</v>
      </c>
    </row>
    <row r="273" spans="1:19" ht="26.25" x14ac:dyDescent="0.25">
      <c r="A273" s="1">
        <v>40880</v>
      </c>
      <c r="B273" s="1">
        <v>40881</v>
      </c>
      <c r="C273" s="2">
        <f t="shared" si="7"/>
        <v>2</v>
      </c>
      <c r="D273" s="6" t="s">
        <v>2468</v>
      </c>
      <c r="E273" s="3" t="s">
        <v>2469</v>
      </c>
      <c r="F273" s="4" t="s">
        <v>58</v>
      </c>
      <c r="G273" s="3" t="s">
        <v>2278</v>
      </c>
      <c r="H273" s="3" t="s">
        <v>2279</v>
      </c>
      <c r="I273" s="3" t="s">
        <v>797</v>
      </c>
      <c r="J273" s="3" t="s">
        <v>61</v>
      </c>
      <c r="K273" s="3">
        <v>66701</v>
      </c>
      <c r="L273" s="3" t="s">
        <v>2280</v>
      </c>
      <c r="M273" s="3"/>
      <c r="N273" s="3"/>
      <c r="O273" s="3"/>
      <c r="P273" s="3"/>
      <c r="Q273" s="3"/>
      <c r="R273" s="3" t="s">
        <v>67</v>
      </c>
      <c r="S273" s="3" t="str">
        <f>"Dec 3-4"</f>
        <v>Dec 3-4</v>
      </c>
    </row>
    <row r="274" spans="1:19" ht="26.25" x14ac:dyDescent="0.25">
      <c r="A274" s="1">
        <v>40880</v>
      </c>
      <c r="B274" s="1">
        <v>40881</v>
      </c>
      <c r="C274" s="2">
        <f t="shared" si="7"/>
        <v>2</v>
      </c>
      <c r="D274" s="6" t="s">
        <v>2470</v>
      </c>
      <c r="E274" s="3" t="s">
        <v>2471</v>
      </c>
      <c r="F274" s="5" t="s">
        <v>58</v>
      </c>
      <c r="G274" s="3" t="s">
        <v>2472</v>
      </c>
      <c r="H274" s="3" t="s">
        <v>1628</v>
      </c>
      <c r="I274" s="3" t="s">
        <v>227</v>
      </c>
      <c r="J274" s="3" t="s">
        <v>61</v>
      </c>
      <c r="K274" s="3">
        <v>67410</v>
      </c>
      <c r="L274" s="3" t="s">
        <v>1629</v>
      </c>
      <c r="M274" s="3" t="s">
        <v>1630</v>
      </c>
      <c r="N274" s="3"/>
      <c r="O274" s="3" t="s">
        <v>1631</v>
      </c>
      <c r="P274" s="3" t="s">
        <v>2473</v>
      </c>
      <c r="Q274" s="3"/>
      <c r="R274" s="3" t="s">
        <v>67</v>
      </c>
      <c r="S274" s="3" t="str">
        <f>"Dec 3-4"</f>
        <v>Dec 3-4</v>
      </c>
    </row>
    <row r="275" spans="1:19" ht="39" x14ac:dyDescent="0.25">
      <c r="A275" s="1">
        <v>40880</v>
      </c>
      <c r="B275" s="1">
        <v>40881</v>
      </c>
      <c r="C275" s="2">
        <f t="shared" si="7"/>
        <v>2</v>
      </c>
      <c r="D275" s="6" t="s">
        <v>2474</v>
      </c>
      <c r="E275" s="3" t="s">
        <v>2475</v>
      </c>
      <c r="F275" s="4" t="s">
        <v>58</v>
      </c>
      <c r="G275" s="3" t="s">
        <v>2476</v>
      </c>
      <c r="H275" s="3"/>
      <c r="I275" s="3" t="s">
        <v>165</v>
      </c>
      <c r="J275" s="3" t="s">
        <v>61</v>
      </c>
      <c r="K275" s="3">
        <v>66221</v>
      </c>
      <c r="L275" s="3" t="s">
        <v>2477</v>
      </c>
      <c r="M275" s="3"/>
      <c r="N275" s="3"/>
      <c r="O275" s="3"/>
      <c r="P275" s="3"/>
      <c r="Q275" s="3" t="s">
        <v>67</v>
      </c>
      <c r="R275" s="3" t="s">
        <v>67</v>
      </c>
      <c r="S275" s="3" t="str">
        <f>"Dec 3-4"</f>
        <v>Dec 3-4</v>
      </c>
    </row>
    <row r="276" spans="1:19" ht="51.75" x14ac:dyDescent="0.25">
      <c r="A276" s="1">
        <v>40886</v>
      </c>
      <c r="B276" s="1">
        <v>40887</v>
      </c>
      <c r="C276" s="2">
        <f t="shared" si="7"/>
        <v>2</v>
      </c>
      <c r="D276" s="6" t="s">
        <v>2293</v>
      </c>
      <c r="E276" s="3" t="s">
        <v>847</v>
      </c>
      <c r="F276" s="4" t="s">
        <v>58</v>
      </c>
      <c r="G276" s="3" t="s">
        <v>848</v>
      </c>
      <c r="H276" s="3"/>
      <c r="I276" s="3" t="s">
        <v>71</v>
      </c>
      <c r="J276" s="3" t="s">
        <v>61</v>
      </c>
      <c r="K276" s="3">
        <v>67203</v>
      </c>
      <c r="L276" s="3" t="s">
        <v>849</v>
      </c>
      <c r="M276" s="3"/>
      <c r="N276" s="3"/>
      <c r="O276" s="3"/>
      <c r="P276" s="3" t="s">
        <v>850</v>
      </c>
      <c r="Q276" s="3" t="s">
        <v>67</v>
      </c>
      <c r="R276" s="3" t="s">
        <v>67</v>
      </c>
      <c r="S276" s="3" t="str">
        <f>"Dec 9-10"</f>
        <v>Dec 9-10</v>
      </c>
    </row>
    <row r="277" spans="1:19" ht="26.25" x14ac:dyDescent="0.25">
      <c r="A277" s="1">
        <v>40886</v>
      </c>
      <c r="B277" s="1">
        <v>40887</v>
      </c>
      <c r="C277" s="2">
        <f t="shared" si="7"/>
        <v>2</v>
      </c>
      <c r="D277" s="6" t="s">
        <v>909</v>
      </c>
      <c r="E277" s="3" t="s">
        <v>1911</v>
      </c>
      <c r="F277" s="4" t="s">
        <v>58</v>
      </c>
      <c r="G277" s="3" t="s">
        <v>810</v>
      </c>
      <c r="H277" s="3" t="s">
        <v>811</v>
      </c>
      <c r="I277" s="3" t="s">
        <v>60</v>
      </c>
      <c r="J277" s="3" t="s">
        <v>61</v>
      </c>
      <c r="K277" s="3">
        <v>66612</v>
      </c>
      <c r="L277" s="3" t="s">
        <v>812</v>
      </c>
      <c r="M277" s="3"/>
      <c r="N277" s="3"/>
      <c r="O277" s="3"/>
      <c r="P277" s="3" t="s">
        <v>814</v>
      </c>
      <c r="Q277" s="3" t="s">
        <v>67</v>
      </c>
      <c r="R277" s="3" t="s">
        <v>67</v>
      </c>
      <c r="S277" s="3" t="str">
        <f>"Dec 9-10"</f>
        <v>Dec 9-10</v>
      </c>
    </row>
    <row r="278" spans="1:19" ht="51.75" x14ac:dyDescent="0.25">
      <c r="A278" s="1">
        <v>40887</v>
      </c>
      <c r="B278" s="1">
        <v>40888</v>
      </c>
      <c r="C278" s="2">
        <f t="shared" si="7"/>
        <v>2</v>
      </c>
      <c r="D278" s="6" t="s">
        <v>2607</v>
      </c>
      <c r="E278" s="3" t="s">
        <v>2608</v>
      </c>
      <c r="F278" s="4" t="s">
        <v>58</v>
      </c>
      <c r="G278" s="3" t="s">
        <v>2609</v>
      </c>
      <c r="H278" s="3" t="s">
        <v>2610</v>
      </c>
      <c r="I278" s="3" t="s">
        <v>245</v>
      </c>
      <c r="J278" s="3" t="s">
        <v>61</v>
      </c>
      <c r="K278" s="3">
        <v>67401</v>
      </c>
      <c r="L278" s="3" t="s">
        <v>2611</v>
      </c>
      <c r="M278" s="3"/>
      <c r="N278" s="3"/>
      <c r="O278" s="3"/>
      <c r="P278" s="3"/>
      <c r="Q278" s="3" t="s">
        <v>67</v>
      </c>
      <c r="R278" s="3" t="s">
        <v>67</v>
      </c>
      <c r="S278" s="3" t="str">
        <f>"Dec 10-11"</f>
        <v>Dec 10-11</v>
      </c>
    </row>
    <row r="279" spans="1:19" ht="26.25" x14ac:dyDescent="0.25">
      <c r="A279" s="1">
        <v>40893</v>
      </c>
      <c r="B279" s="1">
        <v>40894</v>
      </c>
      <c r="C279" s="2">
        <f t="shared" si="7"/>
        <v>2</v>
      </c>
      <c r="D279" s="6" t="s">
        <v>898</v>
      </c>
      <c r="E279" s="3" t="s">
        <v>899</v>
      </c>
      <c r="F279" s="4" t="s">
        <v>58</v>
      </c>
      <c r="G279" s="3" t="s">
        <v>900</v>
      </c>
      <c r="H279" s="3" t="s">
        <v>901</v>
      </c>
      <c r="I279" s="3" t="s">
        <v>245</v>
      </c>
      <c r="J279" s="3" t="s">
        <v>61</v>
      </c>
      <c r="K279" s="3">
        <v>67401</v>
      </c>
      <c r="L279" s="3" t="s">
        <v>902</v>
      </c>
      <c r="M279" s="3" t="s">
        <v>903</v>
      </c>
      <c r="N279" s="3"/>
      <c r="O279" s="3" t="s">
        <v>1956</v>
      </c>
      <c r="P279" s="3" t="s">
        <v>905</v>
      </c>
      <c r="Q279" s="3"/>
      <c r="R279" s="3" t="s">
        <v>67</v>
      </c>
      <c r="S279" s="3" t="str">
        <f>"Dec 16-17"</f>
        <v>Dec 16-17</v>
      </c>
    </row>
    <row r="280" spans="1:19" ht="26.25" x14ac:dyDescent="0.25">
      <c r="A280" s="1">
        <v>40893</v>
      </c>
      <c r="B280" s="1">
        <v>40894</v>
      </c>
      <c r="C280" s="2">
        <f t="shared" si="7"/>
        <v>2</v>
      </c>
      <c r="D280" s="6" t="s">
        <v>2643</v>
      </c>
      <c r="E280" s="3" t="s">
        <v>2644</v>
      </c>
      <c r="F280" s="4" t="s">
        <v>58</v>
      </c>
      <c r="G280" s="3" t="s">
        <v>810</v>
      </c>
      <c r="H280" s="3" t="s">
        <v>811</v>
      </c>
      <c r="I280" s="3" t="s">
        <v>60</v>
      </c>
      <c r="J280" s="3" t="s">
        <v>61</v>
      </c>
      <c r="K280" s="3">
        <v>66612</v>
      </c>
      <c r="L280" s="3" t="s">
        <v>812</v>
      </c>
      <c r="M280" s="3"/>
      <c r="N280" s="3"/>
      <c r="O280" s="3"/>
      <c r="P280" s="3" t="s">
        <v>814</v>
      </c>
      <c r="Q280" s="3" t="s">
        <v>67</v>
      </c>
      <c r="R280" s="3" t="s">
        <v>67</v>
      </c>
      <c r="S280" s="3" t="str">
        <f>"Dec 16-17"</f>
        <v>Dec 16-17</v>
      </c>
    </row>
    <row r="281" spans="1:19" ht="64.5" x14ac:dyDescent="0.25">
      <c r="A281" s="1">
        <v>40894</v>
      </c>
      <c r="B281" s="1">
        <v>40895</v>
      </c>
      <c r="C281" s="2">
        <f t="shared" si="7"/>
        <v>2</v>
      </c>
      <c r="D281" s="6" t="s">
        <v>2654</v>
      </c>
      <c r="E281" s="3" t="s">
        <v>2655</v>
      </c>
      <c r="F281" s="4" t="s">
        <v>58</v>
      </c>
      <c r="G281" s="3" t="s">
        <v>2656</v>
      </c>
      <c r="H281" s="3"/>
      <c r="I281" s="3" t="s">
        <v>2226</v>
      </c>
      <c r="J281" s="3" t="s">
        <v>61</v>
      </c>
      <c r="K281" s="3">
        <v>66762</v>
      </c>
      <c r="L281" s="3" t="s">
        <v>2227</v>
      </c>
      <c r="M281" s="3" t="s">
        <v>1965</v>
      </c>
      <c r="N281" s="3" t="s">
        <v>1966</v>
      </c>
      <c r="O281" s="3" t="s">
        <v>1967</v>
      </c>
      <c r="P281" s="3" t="s">
        <v>1968</v>
      </c>
      <c r="Q281" s="3" t="s">
        <v>67</v>
      </c>
      <c r="R281" s="3"/>
      <c r="S281" s="3" t="str">
        <f>"Dec 17-18"</f>
        <v>Dec 17-18</v>
      </c>
    </row>
    <row r="282" spans="1:19" ht="26.25" x14ac:dyDescent="0.25">
      <c r="A282" s="1">
        <v>40907</v>
      </c>
      <c r="B282" s="1">
        <v>40908</v>
      </c>
      <c r="C282" s="2">
        <f t="shared" si="7"/>
        <v>2</v>
      </c>
      <c r="D282" s="6" t="s">
        <v>1980</v>
      </c>
      <c r="E282" s="3" t="s">
        <v>2672</v>
      </c>
      <c r="F282" s="4" t="s">
        <v>58</v>
      </c>
      <c r="G282" s="3" t="s">
        <v>810</v>
      </c>
      <c r="H282" s="3" t="s">
        <v>811</v>
      </c>
      <c r="I282" s="3" t="s">
        <v>60</v>
      </c>
      <c r="J282" s="3" t="s">
        <v>61</v>
      </c>
      <c r="K282" s="3">
        <v>66612</v>
      </c>
      <c r="L282" s="3" t="s">
        <v>812</v>
      </c>
      <c r="M282" s="3"/>
      <c r="N282" s="3"/>
      <c r="O282" s="3"/>
      <c r="P282" s="3" t="s">
        <v>814</v>
      </c>
      <c r="Q282" s="3" t="s">
        <v>67</v>
      </c>
      <c r="R282" s="3" t="s">
        <v>67</v>
      </c>
      <c r="S282" s="3" t="str">
        <f>"Dec 30-31"</f>
        <v>Dec 30-31</v>
      </c>
    </row>
    <row r="283" spans="1:19" ht="39" x14ac:dyDescent="0.25">
      <c r="A283" s="1">
        <v>40908</v>
      </c>
      <c r="B283" s="1">
        <v>40909</v>
      </c>
      <c r="C283" s="2">
        <f t="shared" si="7"/>
        <v>2</v>
      </c>
      <c r="D283" s="6" t="s">
        <v>2684</v>
      </c>
      <c r="E283" s="3" t="s">
        <v>2685</v>
      </c>
      <c r="F283" s="4" t="s">
        <v>58</v>
      </c>
      <c r="G283" s="3" t="s">
        <v>887</v>
      </c>
      <c r="H283" s="3"/>
      <c r="I283" s="3" t="s">
        <v>888</v>
      </c>
      <c r="J283" s="3" t="s">
        <v>61</v>
      </c>
      <c r="K283" s="3">
        <v>66032</v>
      </c>
      <c r="L283" s="3" t="s">
        <v>889</v>
      </c>
      <c r="M283" s="3"/>
      <c r="N283" s="3"/>
      <c r="O283" s="3" t="s">
        <v>417</v>
      </c>
      <c r="P283" s="3" t="s">
        <v>890</v>
      </c>
      <c r="Q283" s="3"/>
      <c r="R283" s="3"/>
      <c r="S283" s="3" t="str">
        <f>"Dec 31-Jan 1"</f>
        <v>Dec 31-Jan 1</v>
      </c>
    </row>
    <row r="284" spans="1:19" ht="26.25" x14ac:dyDescent="0.25">
      <c r="A284" s="1">
        <v>40914</v>
      </c>
      <c r="B284" s="1">
        <v>40915</v>
      </c>
      <c r="C284" s="2">
        <f t="shared" si="7"/>
        <v>2</v>
      </c>
      <c r="D284" s="6" t="s">
        <v>2686</v>
      </c>
      <c r="E284" s="3" t="s">
        <v>2687</v>
      </c>
      <c r="F284" s="4" t="s">
        <v>58</v>
      </c>
      <c r="G284" s="3" t="s">
        <v>810</v>
      </c>
      <c r="H284" s="3" t="s">
        <v>811</v>
      </c>
      <c r="I284" s="3" t="s">
        <v>60</v>
      </c>
      <c r="J284" s="3" t="s">
        <v>61</v>
      </c>
      <c r="K284" s="3">
        <v>66612</v>
      </c>
      <c r="L284" s="3" t="s">
        <v>812</v>
      </c>
      <c r="M284" s="3"/>
      <c r="N284" s="3"/>
      <c r="O284" s="3"/>
      <c r="P284" s="3" t="s">
        <v>814</v>
      </c>
      <c r="Q284" s="3" t="s">
        <v>67</v>
      </c>
      <c r="R284" s="3" t="s">
        <v>67</v>
      </c>
      <c r="S284" s="3" t="str">
        <f>"Jan 6-7"</f>
        <v>Jan 6-7</v>
      </c>
    </row>
    <row r="285" spans="1:19" ht="39" x14ac:dyDescent="0.25">
      <c r="A285" s="1">
        <v>40915</v>
      </c>
      <c r="B285" s="1">
        <v>40916</v>
      </c>
      <c r="C285" s="2">
        <f t="shared" si="7"/>
        <v>2</v>
      </c>
      <c r="D285" s="6" t="s">
        <v>1770</v>
      </c>
      <c r="E285" s="3" t="s">
        <v>2688</v>
      </c>
      <c r="F285" s="4" t="s">
        <v>58</v>
      </c>
      <c r="G285" s="3" t="s">
        <v>2689</v>
      </c>
      <c r="H285" s="3" t="s">
        <v>1773</v>
      </c>
      <c r="I285" s="3" t="s">
        <v>1774</v>
      </c>
      <c r="J285" s="3" t="s">
        <v>61</v>
      </c>
      <c r="K285" s="3">
        <v>67631</v>
      </c>
      <c r="L285" s="3" t="s">
        <v>1775</v>
      </c>
      <c r="M285" s="3"/>
      <c r="N285" s="3"/>
      <c r="O285" s="3" t="s">
        <v>1776</v>
      </c>
      <c r="P285" s="3" t="s">
        <v>1777</v>
      </c>
      <c r="Q285" s="3"/>
      <c r="R285" s="3" t="s">
        <v>67</v>
      </c>
      <c r="S285" s="3" t="str">
        <f>"Jan 7-8"</f>
        <v>Jan 7-8</v>
      </c>
    </row>
    <row r="286" spans="1:19" ht="26.25" x14ac:dyDescent="0.25">
      <c r="A286" s="1">
        <v>40928</v>
      </c>
      <c r="B286" s="1">
        <v>40929</v>
      </c>
      <c r="C286" s="2">
        <f t="shared" si="7"/>
        <v>2</v>
      </c>
      <c r="D286" s="6" t="s">
        <v>2724</v>
      </c>
      <c r="E286" s="3" t="s">
        <v>2725</v>
      </c>
      <c r="F286" s="4" t="s">
        <v>58</v>
      </c>
      <c r="G286" s="3" t="s">
        <v>1178</v>
      </c>
      <c r="H286" s="3" t="s">
        <v>2726</v>
      </c>
      <c r="I286" s="3" t="s">
        <v>865</v>
      </c>
      <c r="J286" s="3" t="s">
        <v>61</v>
      </c>
      <c r="K286" s="3">
        <v>67601</v>
      </c>
      <c r="L286" s="3" t="s">
        <v>1572</v>
      </c>
      <c r="M286" s="3"/>
      <c r="N286" s="3"/>
      <c r="O286" s="3" t="s">
        <v>1573</v>
      </c>
      <c r="P286" s="3"/>
      <c r="Q286" s="3" t="s">
        <v>67</v>
      </c>
      <c r="R286" s="3" t="s">
        <v>67</v>
      </c>
      <c r="S286" s="3" t="str">
        <f>"Jan 20-21"</f>
        <v>Jan 20-21</v>
      </c>
    </row>
    <row r="287" spans="1:19" ht="26.25" x14ac:dyDescent="0.25">
      <c r="A287" s="1">
        <v>40928</v>
      </c>
      <c r="B287" s="1">
        <v>40929</v>
      </c>
      <c r="C287" s="2">
        <f t="shared" si="7"/>
        <v>2</v>
      </c>
      <c r="D287" s="6" t="s">
        <v>2727</v>
      </c>
      <c r="E287" s="3" t="s">
        <v>2728</v>
      </c>
      <c r="F287" s="4" t="s">
        <v>58</v>
      </c>
      <c r="G287" s="3" t="s">
        <v>810</v>
      </c>
      <c r="H287" s="3" t="s">
        <v>811</v>
      </c>
      <c r="I287" s="3" t="s">
        <v>60</v>
      </c>
      <c r="J287" s="3" t="s">
        <v>61</v>
      </c>
      <c r="K287" s="3">
        <v>66612</v>
      </c>
      <c r="L287" s="3" t="s">
        <v>812</v>
      </c>
      <c r="M287" s="3"/>
      <c r="N287" s="3"/>
      <c r="O287" s="3"/>
      <c r="P287" s="3" t="s">
        <v>814</v>
      </c>
      <c r="Q287" s="3" t="s">
        <v>67</v>
      </c>
      <c r="R287" s="3" t="s">
        <v>67</v>
      </c>
      <c r="S287" s="3" t="str">
        <f>"Jan 20-21"</f>
        <v>Jan 20-21</v>
      </c>
    </row>
    <row r="288" spans="1:19" ht="26.25" x14ac:dyDescent="0.25">
      <c r="A288" s="1">
        <v>40935</v>
      </c>
      <c r="B288" s="1">
        <v>40936</v>
      </c>
      <c r="C288" s="2">
        <f t="shared" si="7"/>
        <v>2</v>
      </c>
      <c r="D288" s="6" t="s">
        <v>2739</v>
      </c>
      <c r="E288" s="3" t="s">
        <v>2740</v>
      </c>
      <c r="F288" s="4" t="s">
        <v>58</v>
      </c>
      <c r="G288" s="3" t="s">
        <v>810</v>
      </c>
      <c r="H288" s="3" t="s">
        <v>811</v>
      </c>
      <c r="I288" s="3" t="s">
        <v>60</v>
      </c>
      <c r="J288" s="3" t="s">
        <v>61</v>
      </c>
      <c r="K288" s="3">
        <v>66612</v>
      </c>
      <c r="L288" s="3" t="s">
        <v>812</v>
      </c>
      <c r="M288" s="3"/>
      <c r="N288" s="3"/>
      <c r="O288" s="3"/>
      <c r="P288" s="3" t="s">
        <v>814</v>
      </c>
      <c r="Q288" s="3" t="s">
        <v>67</v>
      </c>
      <c r="R288" s="3" t="s">
        <v>67</v>
      </c>
      <c r="S288" s="3" t="str">
        <f>"Jan 27-28"</f>
        <v>Jan 27-28</v>
      </c>
    </row>
    <row r="289" spans="1:19" ht="26.25" x14ac:dyDescent="0.25">
      <c r="A289" s="1">
        <v>40941</v>
      </c>
      <c r="B289" s="1">
        <v>40942</v>
      </c>
      <c r="C289" s="2">
        <f t="shared" si="7"/>
        <v>2</v>
      </c>
      <c r="D289" s="6" t="s">
        <v>2775</v>
      </c>
      <c r="E289" s="3" t="s">
        <v>2776</v>
      </c>
      <c r="F289" s="4" t="s">
        <v>58</v>
      </c>
      <c r="G289" s="3" t="s">
        <v>810</v>
      </c>
      <c r="H289" s="3" t="s">
        <v>811</v>
      </c>
      <c r="I289" s="3" t="s">
        <v>60</v>
      </c>
      <c r="J289" s="3" t="s">
        <v>61</v>
      </c>
      <c r="K289" s="3">
        <v>66612</v>
      </c>
      <c r="L289" s="3" t="s">
        <v>812</v>
      </c>
      <c r="M289" s="3"/>
      <c r="N289" s="3"/>
      <c r="O289" s="3"/>
      <c r="P289" s="3" t="s">
        <v>814</v>
      </c>
      <c r="Q289" s="3" t="s">
        <v>67</v>
      </c>
      <c r="R289" s="3" t="s">
        <v>67</v>
      </c>
      <c r="S289" s="3" t="str">
        <f>"Feb 2-3"</f>
        <v>Feb 2-3</v>
      </c>
    </row>
    <row r="290" spans="1:19" ht="26.25" x14ac:dyDescent="0.25">
      <c r="A290" s="1">
        <v>40942</v>
      </c>
      <c r="B290" s="1">
        <v>40943</v>
      </c>
      <c r="C290" s="2">
        <f t="shared" si="7"/>
        <v>2</v>
      </c>
      <c r="D290" s="6" t="s">
        <v>2777</v>
      </c>
      <c r="E290" s="3" t="s">
        <v>2778</v>
      </c>
      <c r="F290" s="5" t="s">
        <v>58</v>
      </c>
      <c r="G290" s="3" t="s">
        <v>2779</v>
      </c>
      <c r="H290" s="3"/>
      <c r="I290" s="3" t="s">
        <v>993</v>
      </c>
      <c r="J290" s="3" t="s">
        <v>61</v>
      </c>
      <c r="K290" s="3">
        <v>66048</v>
      </c>
      <c r="L290" s="3" t="s">
        <v>2780</v>
      </c>
      <c r="M290" s="3"/>
      <c r="N290" s="3"/>
      <c r="O290" s="3" t="s">
        <v>2781</v>
      </c>
      <c r="P290" s="3"/>
      <c r="Q290" s="3" t="s">
        <v>67</v>
      </c>
      <c r="R290" s="3"/>
      <c r="S290" s="3" t="str">
        <f>"Feb 3-4"</f>
        <v>Feb 3-4</v>
      </c>
    </row>
    <row r="291" spans="1:19" ht="39" x14ac:dyDescent="0.25">
      <c r="A291" s="1">
        <v>40943</v>
      </c>
      <c r="B291" s="1">
        <v>40944</v>
      </c>
      <c r="C291" s="2">
        <f t="shared" si="7"/>
        <v>2</v>
      </c>
      <c r="D291" s="6" t="s">
        <v>2802</v>
      </c>
      <c r="E291" s="3" t="s">
        <v>2803</v>
      </c>
      <c r="F291" s="4" t="s">
        <v>58</v>
      </c>
      <c r="G291" s="3" t="s">
        <v>1772</v>
      </c>
      <c r="H291" s="3" t="s">
        <v>1773</v>
      </c>
      <c r="I291" s="3" t="s">
        <v>1774</v>
      </c>
      <c r="J291" s="3" t="s">
        <v>61</v>
      </c>
      <c r="K291" s="3">
        <v>67631</v>
      </c>
      <c r="L291" s="3" t="s">
        <v>1775</v>
      </c>
      <c r="M291" s="3"/>
      <c r="N291" s="3"/>
      <c r="O291" s="3" t="s">
        <v>1776</v>
      </c>
      <c r="P291" s="3" t="s">
        <v>1777</v>
      </c>
      <c r="Q291" s="3"/>
      <c r="R291" s="3" t="s">
        <v>67</v>
      </c>
      <c r="S291" s="3" t="str">
        <f>"Feb 4-5"</f>
        <v>Feb 4-5</v>
      </c>
    </row>
    <row r="292" spans="1:19" x14ac:dyDescent="0.25">
      <c r="A292" s="1">
        <v>40949</v>
      </c>
      <c r="B292" s="1">
        <v>40950</v>
      </c>
      <c r="C292" s="2">
        <f t="shared" si="7"/>
        <v>2</v>
      </c>
      <c r="D292" s="6" t="s">
        <v>897</v>
      </c>
      <c r="E292" s="3" t="s">
        <v>897</v>
      </c>
      <c r="F292" s="4" t="s">
        <v>58</v>
      </c>
      <c r="G292" s="3" t="s">
        <v>297</v>
      </c>
      <c r="H292" s="3"/>
      <c r="I292" s="3" t="s">
        <v>60</v>
      </c>
      <c r="J292" s="3" t="s">
        <v>61</v>
      </c>
      <c r="K292" s="3">
        <v>66606</v>
      </c>
      <c r="L292" s="3" t="s">
        <v>298</v>
      </c>
      <c r="M292" s="3"/>
      <c r="N292" s="3"/>
      <c r="O292" s="3"/>
      <c r="P292" s="3" t="s">
        <v>299</v>
      </c>
      <c r="Q292" s="3" t="s">
        <v>67</v>
      </c>
      <c r="R292" s="3" t="s">
        <v>67</v>
      </c>
      <c r="S292" s="3" t="str">
        <f>"Feb 10-11"</f>
        <v>Feb 10-11</v>
      </c>
    </row>
    <row r="293" spans="1:19" x14ac:dyDescent="0.25">
      <c r="A293" s="1">
        <v>40950</v>
      </c>
      <c r="B293" s="1">
        <v>40951</v>
      </c>
      <c r="C293" s="2">
        <f t="shared" si="7"/>
        <v>2</v>
      </c>
      <c r="D293" s="6" t="s">
        <v>2833</v>
      </c>
      <c r="E293" s="3" t="s">
        <v>2834</v>
      </c>
      <c r="F293" s="4" t="s">
        <v>58</v>
      </c>
      <c r="G293" s="3" t="s">
        <v>2041</v>
      </c>
      <c r="H293" s="3" t="s">
        <v>2835</v>
      </c>
      <c r="I293" s="3" t="s">
        <v>558</v>
      </c>
      <c r="J293" s="3" t="s">
        <v>61</v>
      </c>
      <c r="K293" s="3">
        <v>67880</v>
      </c>
      <c r="L293" s="3" t="s">
        <v>2836</v>
      </c>
      <c r="M293" s="3"/>
      <c r="N293" s="3"/>
      <c r="O293" s="3"/>
      <c r="P293" s="3" t="s">
        <v>562</v>
      </c>
      <c r="Q293" s="3"/>
      <c r="R293" s="3"/>
      <c r="S293" s="3" t="str">
        <f>"Feb 11-12"</f>
        <v>Feb 11-12</v>
      </c>
    </row>
    <row r="294" spans="1:19" ht="39" x14ac:dyDescent="0.25">
      <c r="A294" s="1">
        <v>40956</v>
      </c>
      <c r="B294" s="1">
        <v>40957</v>
      </c>
      <c r="C294" s="2">
        <f t="shared" si="7"/>
        <v>2</v>
      </c>
      <c r="D294" s="6" t="s">
        <v>2857</v>
      </c>
      <c r="E294" s="3" t="s">
        <v>2858</v>
      </c>
      <c r="F294" s="4" t="s">
        <v>58</v>
      </c>
      <c r="G294" s="3" t="s">
        <v>2859</v>
      </c>
      <c r="H294" s="3" t="s">
        <v>215</v>
      </c>
      <c r="I294" s="3" t="s">
        <v>1768</v>
      </c>
      <c r="J294" s="3" t="s">
        <v>61</v>
      </c>
      <c r="K294" s="3">
        <v>67455</v>
      </c>
      <c r="L294" s="3" t="s">
        <v>2860</v>
      </c>
      <c r="M294" s="3"/>
      <c r="N294" s="3"/>
      <c r="O294" s="3" t="s">
        <v>2861</v>
      </c>
      <c r="P294" s="3" t="s">
        <v>2862</v>
      </c>
      <c r="Q294" s="3" t="s">
        <v>67</v>
      </c>
      <c r="R294" s="3" t="s">
        <v>67</v>
      </c>
      <c r="S294" s="3" t="str">
        <f>"Feb 17-18"</f>
        <v>Feb 17-18</v>
      </c>
    </row>
    <row r="295" spans="1:19" ht="39" x14ac:dyDescent="0.25">
      <c r="A295" s="1">
        <v>40956</v>
      </c>
      <c r="B295" s="1">
        <v>40957</v>
      </c>
      <c r="C295" s="2">
        <f t="shared" si="7"/>
        <v>2</v>
      </c>
      <c r="D295" s="6" t="s">
        <v>2857</v>
      </c>
      <c r="E295" s="3" t="s">
        <v>2863</v>
      </c>
      <c r="F295" s="4" t="s">
        <v>58</v>
      </c>
      <c r="G295" s="3" t="s">
        <v>215</v>
      </c>
      <c r="H295" s="3"/>
      <c r="I295" s="3" t="s">
        <v>1768</v>
      </c>
      <c r="J295" s="3" t="s">
        <v>61</v>
      </c>
      <c r="K295" s="3">
        <v>67455</v>
      </c>
      <c r="L295" s="3" t="s">
        <v>2860</v>
      </c>
      <c r="M295" s="3"/>
      <c r="N295" s="3"/>
      <c r="O295" s="3" t="s">
        <v>2864</v>
      </c>
      <c r="P295" s="3" t="s">
        <v>2865</v>
      </c>
      <c r="Q295" s="3" t="s">
        <v>67</v>
      </c>
      <c r="R295" s="3" t="s">
        <v>67</v>
      </c>
      <c r="S295" s="3" t="str">
        <f>"Feb 17-18"</f>
        <v>Feb 17-18</v>
      </c>
    </row>
    <row r="296" spans="1:19" ht="26.25" x14ac:dyDescent="0.25">
      <c r="A296" s="1">
        <v>40963</v>
      </c>
      <c r="B296" s="1">
        <v>40964</v>
      </c>
      <c r="C296" s="2">
        <f t="shared" si="7"/>
        <v>2</v>
      </c>
      <c r="D296" s="6" t="s">
        <v>2892</v>
      </c>
      <c r="E296" s="3" t="s">
        <v>2893</v>
      </c>
      <c r="F296" s="4" t="s">
        <v>58</v>
      </c>
      <c r="G296" s="3" t="s">
        <v>551</v>
      </c>
      <c r="H296" s="3" t="s">
        <v>2894</v>
      </c>
      <c r="I296" s="3" t="s">
        <v>60</v>
      </c>
      <c r="J296" s="3" t="s">
        <v>61</v>
      </c>
      <c r="K296" s="3">
        <v>66621</v>
      </c>
      <c r="L296" s="3" t="s">
        <v>2895</v>
      </c>
      <c r="M296" s="3"/>
      <c r="N296" s="3"/>
      <c r="O296" s="3"/>
      <c r="P296" s="3" t="s">
        <v>2896</v>
      </c>
      <c r="Q296" s="3" t="s">
        <v>67</v>
      </c>
      <c r="R296" s="3"/>
      <c r="S296" s="3" t="str">
        <f>"Feb 24-25"</f>
        <v>Feb 24-25</v>
      </c>
    </row>
    <row r="297" spans="1:19" ht="39" x14ac:dyDescent="0.25">
      <c r="A297" s="1">
        <v>40963</v>
      </c>
      <c r="B297" s="1">
        <v>40964</v>
      </c>
      <c r="C297" s="2">
        <f t="shared" si="7"/>
        <v>2</v>
      </c>
      <c r="D297" s="6" t="s">
        <v>2897</v>
      </c>
      <c r="E297" s="3" t="s">
        <v>2898</v>
      </c>
      <c r="F297" s="4" t="s">
        <v>58</v>
      </c>
      <c r="G297" s="3" t="s">
        <v>2899</v>
      </c>
      <c r="H297" s="3" t="s">
        <v>2900</v>
      </c>
      <c r="I297" s="3" t="s">
        <v>303</v>
      </c>
      <c r="J297" s="3" t="s">
        <v>61</v>
      </c>
      <c r="K297" s="3">
        <v>66506</v>
      </c>
      <c r="L297" s="3" t="s">
        <v>2901</v>
      </c>
      <c r="M297" s="3"/>
      <c r="N297" s="3"/>
      <c r="O297" s="3" t="s">
        <v>2902</v>
      </c>
      <c r="P297" s="3" t="s">
        <v>2903</v>
      </c>
      <c r="Q297" s="3" t="s">
        <v>67</v>
      </c>
      <c r="R297" s="3" t="s">
        <v>67</v>
      </c>
      <c r="S297" s="3" t="str">
        <f>"Feb 24-25"</f>
        <v>Feb 24-25</v>
      </c>
    </row>
    <row r="298" spans="1:19" ht="26.25" x14ac:dyDescent="0.25">
      <c r="A298" s="1">
        <v>40963</v>
      </c>
      <c r="B298" s="1">
        <v>40964</v>
      </c>
      <c r="C298" s="2">
        <f t="shared" si="7"/>
        <v>2</v>
      </c>
      <c r="D298" s="6" t="s">
        <v>2904</v>
      </c>
      <c r="E298" s="3" t="s">
        <v>2905</v>
      </c>
      <c r="F298" s="4" t="s">
        <v>58</v>
      </c>
      <c r="G298" s="3" t="s">
        <v>1178</v>
      </c>
      <c r="H298" s="3" t="s">
        <v>2726</v>
      </c>
      <c r="I298" s="3" t="s">
        <v>865</v>
      </c>
      <c r="J298" s="3" t="s">
        <v>61</v>
      </c>
      <c r="K298" s="3">
        <v>67601</v>
      </c>
      <c r="L298" s="3" t="s">
        <v>1572</v>
      </c>
      <c r="M298" s="3"/>
      <c r="N298" s="3"/>
      <c r="O298" s="3" t="s">
        <v>1573</v>
      </c>
      <c r="P298" s="3" t="s">
        <v>1574</v>
      </c>
      <c r="Q298" s="3" t="s">
        <v>67</v>
      </c>
      <c r="R298" s="3" t="s">
        <v>67</v>
      </c>
      <c r="S298" s="3" t="str">
        <f>"Feb 24-25"</f>
        <v>Feb 24-25</v>
      </c>
    </row>
    <row r="299" spans="1:19" ht="26.25" x14ac:dyDescent="0.25">
      <c r="A299" s="1">
        <v>40963</v>
      </c>
      <c r="B299" s="1">
        <v>40964</v>
      </c>
      <c r="C299" s="2">
        <f t="shared" si="7"/>
        <v>2</v>
      </c>
      <c r="D299" s="6" t="s">
        <v>2906</v>
      </c>
      <c r="E299" s="3" t="s">
        <v>2907</v>
      </c>
      <c r="F299" s="4" t="s">
        <v>58</v>
      </c>
      <c r="G299" s="3" t="s">
        <v>804</v>
      </c>
      <c r="H299" s="3" t="s">
        <v>805</v>
      </c>
      <c r="I299" s="3" t="s">
        <v>806</v>
      </c>
      <c r="J299" s="3" t="s">
        <v>61</v>
      </c>
      <c r="K299" s="3">
        <v>67147</v>
      </c>
      <c r="L299" s="3" t="s">
        <v>2908</v>
      </c>
      <c r="M299" s="3"/>
      <c r="N299" s="3"/>
      <c r="O299" s="3"/>
      <c r="P299" s="3" t="s">
        <v>1574</v>
      </c>
      <c r="Q299" s="3" t="s">
        <v>67</v>
      </c>
      <c r="R299" s="3" t="s">
        <v>67</v>
      </c>
      <c r="S299" s="3" t="str">
        <f>"Feb 24-25"</f>
        <v>Feb 24-25</v>
      </c>
    </row>
    <row r="300" spans="1:19" ht="26.25" x14ac:dyDescent="0.25">
      <c r="A300" s="1">
        <v>40964</v>
      </c>
      <c r="B300" s="1">
        <v>40965</v>
      </c>
      <c r="C300" s="2">
        <f t="shared" si="7"/>
        <v>2</v>
      </c>
      <c r="D300" s="6" t="s">
        <v>2916</v>
      </c>
      <c r="E300" s="3" t="s">
        <v>2917</v>
      </c>
      <c r="F300" s="4" t="s">
        <v>58</v>
      </c>
      <c r="G300" s="3" t="s">
        <v>2918</v>
      </c>
      <c r="H300" s="3"/>
      <c r="I300" s="3" t="s">
        <v>2919</v>
      </c>
      <c r="J300" s="3" t="s">
        <v>61</v>
      </c>
      <c r="K300" s="3">
        <v>67846</v>
      </c>
      <c r="L300" s="3" t="s">
        <v>2650</v>
      </c>
      <c r="M300" s="3" t="s">
        <v>2651</v>
      </c>
      <c r="N300" s="3"/>
      <c r="O300" s="3"/>
      <c r="P300" s="3" t="s">
        <v>2920</v>
      </c>
      <c r="Q300" s="3" t="s">
        <v>67</v>
      </c>
      <c r="R300" s="3"/>
      <c r="S300" s="3" t="str">
        <f>"Feb 25-26"</f>
        <v>Feb 25-26</v>
      </c>
    </row>
    <row r="301" spans="1:19" ht="26.25" x14ac:dyDescent="0.25">
      <c r="A301" s="1">
        <v>40970</v>
      </c>
      <c r="B301" s="1">
        <v>40971</v>
      </c>
      <c r="C301" s="2">
        <f t="shared" si="7"/>
        <v>2</v>
      </c>
      <c r="D301" s="6" t="s">
        <v>2727</v>
      </c>
      <c r="E301" s="3" t="s">
        <v>2727</v>
      </c>
      <c r="F301" s="4" t="s">
        <v>58</v>
      </c>
      <c r="G301" s="3" t="s">
        <v>810</v>
      </c>
      <c r="H301" s="3" t="s">
        <v>811</v>
      </c>
      <c r="I301" s="3" t="s">
        <v>60</v>
      </c>
      <c r="J301" s="3" t="s">
        <v>61</v>
      </c>
      <c r="K301" s="3">
        <v>66612</v>
      </c>
      <c r="L301" s="3" t="s">
        <v>812</v>
      </c>
      <c r="M301" s="3"/>
      <c r="N301" s="3"/>
      <c r="O301" s="3"/>
      <c r="P301" s="3" t="s">
        <v>814</v>
      </c>
      <c r="Q301" s="3" t="s">
        <v>67</v>
      </c>
      <c r="R301" s="3" t="s">
        <v>67</v>
      </c>
      <c r="S301" s="3" t="str">
        <f>"Mar 2-3"</f>
        <v>Mar 2-3</v>
      </c>
    </row>
    <row r="302" spans="1:19" ht="39" x14ac:dyDescent="0.25">
      <c r="A302" s="1">
        <v>40973</v>
      </c>
      <c r="B302" s="1">
        <v>40974</v>
      </c>
      <c r="C302" s="2">
        <f t="shared" si="7"/>
        <v>2</v>
      </c>
      <c r="D302" s="6" t="s">
        <v>2934</v>
      </c>
      <c r="E302" s="3" t="s">
        <v>2935</v>
      </c>
      <c r="F302" s="4" t="s">
        <v>58</v>
      </c>
      <c r="G302" s="3" t="s">
        <v>1178</v>
      </c>
      <c r="H302" s="3" t="s">
        <v>2936</v>
      </c>
      <c r="I302" s="3" t="s">
        <v>865</v>
      </c>
      <c r="J302" s="3" t="s">
        <v>61</v>
      </c>
      <c r="K302" s="3">
        <v>67601</v>
      </c>
      <c r="L302" s="3" t="s">
        <v>2720</v>
      </c>
      <c r="M302" s="3"/>
      <c r="N302" s="3" t="s">
        <v>2721</v>
      </c>
      <c r="O302" s="3" t="s">
        <v>2722</v>
      </c>
      <c r="P302" s="3" t="s">
        <v>2626</v>
      </c>
      <c r="Q302" s="3" t="s">
        <v>67</v>
      </c>
      <c r="R302" s="3" t="s">
        <v>67</v>
      </c>
      <c r="S302" s="3" t="str">
        <f>"Mar 5-6"</f>
        <v>Mar 5-6</v>
      </c>
    </row>
    <row r="303" spans="1:19" ht="26.25" x14ac:dyDescent="0.25">
      <c r="A303" s="1">
        <v>40984</v>
      </c>
      <c r="B303" s="1">
        <v>40985</v>
      </c>
      <c r="C303" s="2">
        <f t="shared" si="7"/>
        <v>2</v>
      </c>
      <c r="D303" s="6" t="s">
        <v>2686</v>
      </c>
      <c r="E303" s="3" t="s">
        <v>2686</v>
      </c>
      <c r="F303" s="4" t="s">
        <v>58</v>
      </c>
      <c r="G303" s="3" t="s">
        <v>810</v>
      </c>
      <c r="H303" s="3" t="s">
        <v>811</v>
      </c>
      <c r="I303" s="3" t="s">
        <v>60</v>
      </c>
      <c r="J303" s="3" t="s">
        <v>61</v>
      </c>
      <c r="K303" s="3">
        <v>66612</v>
      </c>
      <c r="L303" s="3" t="s">
        <v>812</v>
      </c>
      <c r="M303" s="3"/>
      <c r="N303" s="3"/>
      <c r="O303" s="3"/>
      <c r="P303" s="3" t="s">
        <v>814</v>
      </c>
      <c r="Q303" s="3" t="s">
        <v>67</v>
      </c>
      <c r="R303" s="3" t="s">
        <v>67</v>
      </c>
      <c r="S303" s="3" t="str">
        <f>"Mar 16-17"</f>
        <v>Mar 16-17</v>
      </c>
    </row>
    <row r="304" spans="1:19" x14ac:dyDescent="0.25">
      <c r="A304" s="1">
        <v>41005</v>
      </c>
      <c r="B304" s="1">
        <v>41006</v>
      </c>
      <c r="C304" s="2">
        <f t="shared" si="7"/>
        <v>2</v>
      </c>
      <c r="D304" s="6" t="s">
        <v>897</v>
      </c>
      <c r="E304" s="3" t="s">
        <v>897</v>
      </c>
      <c r="F304" s="4" t="s">
        <v>58</v>
      </c>
      <c r="G304" s="3" t="s">
        <v>297</v>
      </c>
      <c r="H304" s="3"/>
      <c r="I304" s="3" t="s">
        <v>60</v>
      </c>
      <c r="J304" s="3" t="s">
        <v>61</v>
      </c>
      <c r="K304" s="3">
        <v>66606</v>
      </c>
      <c r="L304" s="3" t="s">
        <v>298</v>
      </c>
      <c r="M304" s="3"/>
      <c r="N304" s="3"/>
      <c r="O304" s="3"/>
      <c r="P304" s="3" t="s">
        <v>299</v>
      </c>
      <c r="Q304" s="3" t="s">
        <v>67</v>
      </c>
      <c r="R304" s="3" t="s">
        <v>67</v>
      </c>
      <c r="S304" s="3" t="str">
        <f>"Apr 6-7"</f>
        <v>Apr 6-7</v>
      </c>
    </row>
    <row r="305" spans="1:19" ht="39" x14ac:dyDescent="0.25">
      <c r="A305" s="1">
        <v>41020</v>
      </c>
      <c r="B305" s="1">
        <v>41021</v>
      </c>
      <c r="C305" s="2">
        <f t="shared" si="7"/>
        <v>2</v>
      </c>
      <c r="D305" s="6" t="s">
        <v>3096</v>
      </c>
      <c r="E305" s="3" t="s">
        <v>2985</v>
      </c>
      <c r="F305" s="4" t="s">
        <v>58</v>
      </c>
      <c r="G305" s="3" t="s">
        <v>2797</v>
      </c>
      <c r="H305" s="3" t="s">
        <v>2798</v>
      </c>
      <c r="I305" s="3" t="s">
        <v>71</v>
      </c>
      <c r="J305" s="3" t="s">
        <v>61</v>
      </c>
      <c r="K305" s="3">
        <v>67202</v>
      </c>
      <c r="L305" s="3" t="s">
        <v>2986</v>
      </c>
      <c r="M305" s="3"/>
      <c r="N305" s="3"/>
      <c r="O305" s="3"/>
      <c r="P305" s="3" t="s">
        <v>2801</v>
      </c>
      <c r="Q305" s="3" t="s">
        <v>67</v>
      </c>
      <c r="R305" s="3" t="s">
        <v>67</v>
      </c>
      <c r="S305" s="3" t="str">
        <f>"Apr 21-22"</f>
        <v>Apr 21-22</v>
      </c>
    </row>
    <row r="306" spans="1:19" ht="39" x14ac:dyDescent="0.25">
      <c r="A306" s="1">
        <v>41026</v>
      </c>
      <c r="B306" s="1">
        <v>41027</v>
      </c>
      <c r="C306" s="2">
        <f t="shared" si="7"/>
        <v>2</v>
      </c>
      <c r="D306" s="6" t="s">
        <v>3117</v>
      </c>
      <c r="E306" s="3" t="s">
        <v>3118</v>
      </c>
      <c r="F306" s="4" t="s">
        <v>58</v>
      </c>
      <c r="G306" s="3" t="s">
        <v>3119</v>
      </c>
      <c r="H306" s="3" t="s">
        <v>3120</v>
      </c>
      <c r="I306" s="3" t="s">
        <v>1303</v>
      </c>
      <c r="J306" s="3" t="s">
        <v>61</v>
      </c>
      <c r="K306" s="3">
        <v>66720</v>
      </c>
      <c r="L306" s="3" t="s">
        <v>3121</v>
      </c>
      <c r="M306" s="3" t="s">
        <v>1305</v>
      </c>
      <c r="N306" s="3"/>
      <c r="O306" s="3" t="s">
        <v>3122</v>
      </c>
      <c r="P306" s="3" t="s">
        <v>3123</v>
      </c>
      <c r="Q306" s="3" t="s">
        <v>67</v>
      </c>
      <c r="R306" s="3"/>
      <c r="S306" s="3" t="str">
        <f>"Apr 27-28"</f>
        <v>Apr 27-28</v>
      </c>
    </row>
    <row r="307" spans="1:19" ht="26.25" x14ac:dyDescent="0.25">
      <c r="A307" s="1">
        <v>41026</v>
      </c>
      <c r="B307" s="1">
        <v>41027</v>
      </c>
      <c r="C307" s="2">
        <f t="shared" si="7"/>
        <v>2</v>
      </c>
      <c r="D307" s="6" t="s">
        <v>3124</v>
      </c>
      <c r="E307" s="3" t="s">
        <v>3125</v>
      </c>
      <c r="F307" s="4" t="s">
        <v>58</v>
      </c>
      <c r="G307" s="3" t="s">
        <v>3126</v>
      </c>
      <c r="H307" s="3" t="s">
        <v>3127</v>
      </c>
      <c r="I307" s="3" t="s">
        <v>1303</v>
      </c>
      <c r="J307" s="3" t="s">
        <v>61</v>
      </c>
      <c r="K307" s="3">
        <v>66720</v>
      </c>
      <c r="L307" s="3" t="s">
        <v>3121</v>
      </c>
      <c r="M307" s="3"/>
      <c r="N307" s="3"/>
      <c r="O307" s="3" t="s">
        <v>3122</v>
      </c>
      <c r="P307" s="3" t="s">
        <v>3123</v>
      </c>
      <c r="Q307" s="3" t="s">
        <v>67</v>
      </c>
      <c r="R307" s="3"/>
      <c r="S307" s="3" t="str">
        <f>"Apr 27-28"</f>
        <v>Apr 27-28</v>
      </c>
    </row>
    <row r="308" spans="1:19" ht="26.25" x14ac:dyDescent="0.25">
      <c r="A308" s="1">
        <v>41033</v>
      </c>
      <c r="B308" s="1">
        <v>41034</v>
      </c>
      <c r="C308" s="2">
        <f t="shared" si="7"/>
        <v>2</v>
      </c>
      <c r="D308" s="6" t="s">
        <v>3198</v>
      </c>
      <c r="E308" s="3" t="s">
        <v>3199</v>
      </c>
      <c r="F308" s="4" t="s">
        <v>58</v>
      </c>
      <c r="G308" s="3" t="s">
        <v>3200</v>
      </c>
      <c r="H308" s="3"/>
      <c r="I308" s="3" t="s">
        <v>315</v>
      </c>
      <c r="J308" s="3" t="s">
        <v>61</v>
      </c>
      <c r="K308" s="3">
        <v>66043</v>
      </c>
      <c r="L308" s="3" t="s">
        <v>949</v>
      </c>
      <c r="M308" s="3"/>
      <c r="N308" s="3" t="s">
        <v>950</v>
      </c>
      <c r="O308" s="3" t="s">
        <v>951</v>
      </c>
      <c r="P308" s="3" t="s">
        <v>317</v>
      </c>
      <c r="Q308" s="3" t="s">
        <v>67</v>
      </c>
      <c r="R308" s="3"/>
      <c r="S308" s="3" t="str">
        <f>"May 4-5"</f>
        <v>May 4-5</v>
      </c>
    </row>
    <row r="309" spans="1:19" ht="39" x14ac:dyDescent="0.25">
      <c r="A309" s="1">
        <v>41033</v>
      </c>
      <c r="B309" s="1">
        <v>41034</v>
      </c>
      <c r="C309" s="2">
        <f t="shared" si="7"/>
        <v>2</v>
      </c>
      <c r="D309" s="6" t="s">
        <v>3191</v>
      </c>
      <c r="E309" s="3" t="s">
        <v>3192</v>
      </c>
      <c r="F309" s="4" t="s">
        <v>58</v>
      </c>
      <c r="G309" s="3" t="s">
        <v>3193</v>
      </c>
      <c r="H309" s="3"/>
      <c r="I309" s="3" t="s">
        <v>3194</v>
      </c>
      <c r="J309" s="3" t="s">
        <v>61</v>
      </c>
      <c r="K309" s="3">
        <v>67548</v>
      </c>
      <c r="L309" s="3" t="s">
        <v>3195</v>
      </c>
      <c r="M309" s="3"/>
      <c r="N309" s="3"/>
      <c r="O309" s="3" t="s">
        <v>3196</v>
      </c>
      <c r="P309" s="3" t="s">
        <v>3197</v>
      </c>
      <c r="Q309" s="3" t="s">
        <v>67</v>
      </c>
      <c r="R309" s="3"/>
      <c r="S309" s="3" t="str">
        <f>"May 4-5"</f>
        <v>May 4-5</v>
      </c>
    </row>
    <row r="310" spans="1:19" ht="39" x14ac:dyDescent="0.25">
      <c r="A310" s="1">
        <v>41033</v>
      </c>
      <c r="B310" s="1">
        <v>41034</v>
      </c>
      <c r="C310" s="2">
        <f t="shared" si="7"/>
        <v>2</v>
      </c>
      <c r="D310" s="6" t="s">
        <v>3201</v>
      </c>
      <c r="E310" s="3" t="s">
        <v>3202</v>
      </c>
      <c r="F310" s="5" t="s">
        <v>58</v>
      </c>
      <c r="G310" s="3" t="s">
        <v>649</v>
      </c>
      <c r="H310" s="3" t="s">
        <v>650</v>
      </c>
      <c r="I310" s="3" t="s">
        <v>407</v>
      </c>
      <c r="J310" s="3" t="s">
        <v>61</v>
      </c>
      <c r="K310" s="3">
        <v>67010</v>
      </c>
      <c r="L310" s="3" t="s">
        <v>3203</v>
      </c>
      <c r="M310" s="3"/>
      <c r="N310" s="3" t="s">
        <v>3203</v>
      </c>
      <c r="O310" s="3" t="s">
        <v>652</v>
      </c>
      <c r="P310" s="3" t="s">
        <v>3204</v>
      </c>
      <c r="Q310" s="3" t="s">
        <v>67</v>
      </c>
      <c r="R310" s="3" t="s">
        <v>67</v>
      </c>
      <c r="S310" s="3" t="str">
        <f>"May 4-5"</f>
        <v>May 4-5</v>
      </c>
    </row>
    <row r="311" spans="1:19" ht="39" x14ac:dyDescent="0.25">
      <c r="A311" s="1">
        <v>41041</v>
      </c>
      <c r="B311" s="1">
        <v>41042</v>
      </c>
      <c r="C311" s="2">
        <f t="shared" si="7"/>
        <v>2</v>
      </c>
      <c r="D311" s="6" t="s">
        <v>3272</v>
      </c>
      <c r="E311" s="3" t="s">
        <v>3273</v>
      </c>
      <c r="F311" s="4" t="s">
        <v>58</v>
      </c>
      <c r="G311" s="3" t="s">
        <v>3274</v>
      </c>
      <c r="H311" s="3"/>
      <c r="I311" s="3" t="s">
        <v>179</v>
      </c>
      <c r="J311" s="3" t="s">
        <v>61</v>
      </c>
      <c r="K311" s="3">
        <v>66508</v>
      </c>
      <c r="L311" s="3" t="s">
        <v>3275</v>
      </c>
      <c r="M311" s="3"/>
      <c r="N311" s="3"/>
      <c r="O311" s="3" t="s">
        <v>1080</v>
      </c>
      <c r="P311" s="3" t="s">
        <v>3276</v>
      </c>
      <c r="Q311" s="3"/>
      <c r="R311" s="3"/>
      <c r="S311" s="3" t="str">
        <f>"May 12-13"</f>
        <v>May 12-13</v>
      </c>
    </row>
    <row r="312" spans="1:19" ht="39" x14ac:dyDescent="0.25">
      <c r="A312" s="1">
        <v>41041</v>
      </c>
      <c r="B312" s="1">
        <v>41042</v>
      </c>
      <c r="C312" s="2">
        <f t="shared" si="7"/>
        <v>2</v>
      </c>
      <c r="D312" s="6" t="s">
        <v>3266</v>
      </c>
      <c r="E312" s="3" t="s">
        <v>3267</v>
      </c>
      <c r="F312" s="4" t="s">
        <v>58</v>
      </c>
      <c r="G312" s="3" t="s">
        <v>3268</v>
      </c>
      <c r="H312" s="3"/>
      <c r="I312" s="3" t="s">
        <v>1446</v>
      </c>
      <c r="J312" s="3" t="s">
        <v>61</v>
      </c>
      <c r="K312" s="3">
        <v>66071</v>
      </c>
      <c r="L312" s="3" t="s">
        <v>3269</v>
      </c>
      <c r="M312" s="3"/>
      <c r="N312" s="3"/>
      <c r="O312" s="3" t="s">
        <v>3270</v>
      </c>
      <c r="P312" s="3" t="s">
        <v>3271</v>
      </c>
      <c r="Q312" s="3" t="s">
        <v>67</v>
      </c>
      <c r="R312" s="3"/>
      <c r="S312" s="3" t="str">
        <f>"May 12-13"</f>
        <v>May 12-13</v>
      </c>
    </row>
    <row r="313" spans="1:19" ht="26.25" x14ac:dyDescent="0.25">
      <c r="A313" s="1">
        <v>41061</v>
      </c>
      <c r="B313" s="1">
        <v>41062</v>
      </c>
      <c r="C313" s="2">
        <f t="shared" si="7"/>
        <v>2</v>
      </c>
      <c r="D313" s="6" t="s">
        <v>3343</v>
      </c>
      <c r="E313" s="3" t="s">
        <v>3344</v>
      </c>
      <c r="F313" s="4" t="s">
        <v>58</v>
      </c>
      <c r="G313" s="3" t="s">
        <v>3342</v>
      </c>
      <c r="H313" s="3"/>
      <c r="I313" s="3" t="s">
        <v>179</v>
      </c>
      <c r="J313" s="3" t="s">
        <v>61</v>
      </c>
      <c r="K313" s="3">
        <v>66508</v>
      </c>
      <c r="L313" s="3" t="s">
        <v>1521</v>
      </c>
      <c r="M313" s="3"/>
      <c r="N313" s="3"/>
      <c r="O313" s="3" t="s">
        <v>1522</v>
      </c>
      <c r="P313" s="3" t="s">
        <v>3345</v>
      </c>
      <c r="Q313" s="3"/>
      <c r="R313" s="3"/>
      <c r="S313" s="3" t="str">
        <f>"Jun 1-2"</f>
        <v>Jun 1-2</v>
      </c>
    </row>
    <row r="314" spans="1:19" ht="39" x14ac:dyDescent="0.25">
      <c r="A314" s="1">
        <v>41069</v>
      </c>
      <c r="B314" s="1">
        <v>41070</v>
      </c>
      <c r="C314" s="2">
        <f t="shared" si="7"/>
        <v>2</v>
      </c>
      <c r="D314" s="6" t="s">
        <v>3432</v>
      </c>
      <c r="E314" s="3" t="s">
        <v>3433</v>
      </c>
      <c r="F314" s="4" t="s">
        <v>58</v>
      </c>
      <c r="G314" s="3" t="s">
        <v>3434</v>
      </c>
      <c r="H314" s="3" t="s">
        <v>3435</v>
      </c>
      <c r="I314" s="3" t="s">
        <v>133</v>
      </c>
      <c r="J314" s="3" t="s">
        <v>61</v>
      </c>
      <c r="K314" s="3">
        <v>66845</v>
      </c>
      <c r="L314" s="3" t="s">
        <v>134</v>
      </c>
      <c r="M314" s="3"/>
      <c r="N314" s="3"/>
      <c r="O314" s="3" t="s">
        <v>3436</v>
      </c>
      <c r="P314" s="3" t="s">
        <v>3437</v>
      </c>
      <c r="Q314" s="3"/>
      <c r="R314" s="3"/>
      <c r="S314" s="3" t="str">
        <f>"Jun 9-10"</f>
        <v>Jun 9-10</v>
      </c>
    </row>
    <row r="315" spans="1:19" ht="26.25" x14ac:dyDescent="0.25">
      <c r="A315" s="1">
        <v>41075</v>
      </c>
      <c r="B315" s="1">
        <v>41076</v>
      </c>
      <c r="C315" s="2">
        <f t="shared" si="7"/>
        <v>2</v>
      </c>
      <c r="D315" s="6" t="s">
        <v>3449</v>
      </c>
      <c r="E315" s="3" t="s">
        <v>3450</v>
      </c>
      <c r="F315" s="4" t="s">
        <v>58</v>
      </c>
      <c r="G315" s="3" t="s">
        <v>271</v>
      </c>
      <c r="H315" s="3"/>
      <c r="I315" s="3" t="s">
        <v>210</v>
      </c>
      <c r="J315" s="3" t="s">
        <v>61</v>
      </c>
      <c r="K315" s="3">
        <v>66002</v>
      </c>
      <c r="L315" s="3" t="s">
        <v>3451</v>
      </c>
      <c r="M315" s="3"/>
      <c r="N315" s="3"/>
      <c r="O315" s="3"/>
      <c r="P315" s="3"/>
      <c r="Q315" s="3" t="s">
        <v>67</v>
      </c>
      <c r="R315" s="3" t="s">
        <v>67</v>
      </c>
      <c r="S315" s="3" t="str">
        <f>"Jun 15-16"</f>
        <v>Jun 15-16</v>
      </c>
    </row>
    <row r="316" spans="1:19" ht="26.25" x14ac:dyDescent="0.25">
      <c r="A316" s="1">
        <v>41085</v>
      </c>
      <c r="B316" s="1">
        <v>41086</v>
      </c>
      <c r="C316" s="2">
        <f t="shared" si="7"/>
        <v>2</v>
      </c>
      <c r="D316" s="6" t="s">
        <v>3518</v>
      </c>
      <c r="E316" s="3" t="s">
        <v>3519</v>
      </c>
      <c r="F316" s="4" t="s">
        <v>58</v>
      </c>
      <c r="G316" s="3" t="s">
        <v>3520</v>
      </c>
      <c r="H316" s="3"/>
      <c r="I316" s="3" t="s">
        <v>2018</v>
      </c>
      <c r="J316" s="3" t="s">
        <v>61</v>
      </c>
      <c r="K316" s="3">
        <v>67735</v>
      </c>
      <c r="L316" s="3" t="s">
        <v>3521</v>
      </c>
      <c r="M316" s="3"/>
      <c r="N316" s="3"/>
      <c r="O316" s="3"/>
      <c r="P316" s="3" t="s">
        <v>3522</v>
      </c>
      <c r="Q316" s="3" t="s">
        <v>67</v>
      </c>
      <c r="R316" s="3" t="s">
        <v>67</v>
      </c>
      <c r="S316" s="3" t="str">
        <f>"Jun 25-26"</f>
        <v>Jun 25-26</v>
      </c>
    </row>
    <row r="317" spans="1:19" ht="39" x14ac:dyDescent="0.25">
      <c r="A317" s="16">
        <v>41089</v>
      </c>
      <c r="B317" s="16">
        <v>41090</v>
      </c>
      <c r="C317" s="2">
        <f t="shared" si="7"/>
        <v>2</v>
      </c>
      <c r="D317" s="27" t="s">
        <v>3525</v>
      </c>
      <c r="E317" s="7" t="s">
        <v>3526</v>
      </c>
      <c r="F317" s="4" t="s">
        <v>58</v>
      </c>
      <c r="G317" s="7" t="s">
        <v>3527</v>
      </c>
      <c r="H317" s="7" t="s">
        <v>3528</v>
      </c>
      <c r="I317" s="7" t="s">
        <v>77</v>
      </c>
      <c r="J317" s="7" t="s">
        <v>61</v>
      </c>
      <c r="K317" s="7">
        <v>66067</v>
      </c>
      <c r="L317" s="7" t="s">
        <v>3529</v>
      </c>
      <c r="M317" s="7"/>
      <c r="N317" s="7"/>
      <c r="O317" s="7"/>
      <c r="P317" s="7" t="s">
        <v>80</v>
      </c>
      <c r="Q317" s="7" t="s">
        <v>67</v>
      </c>
      <c r="R317" s="7" t="s">
        <v>67</v>
      </c>
      <c r="S317" s="7" t="str">
        <f>"Jun 29-30"</f>
        <v>Jun 29-30</v>
      </c>
    </row>
    <row r="318" spans="1:19" ht="39" x14ac:dyDescent="0.25">
      <c r="A318" s="1">
        <v>41091</v>
      </c>
      <c r="B318" s="1">
        <v>41092</v>
      </c>
      <c r="C318" s="2">
        <f t="shared" si="7"/>
        <v>2</v>
      </c>
      <c r="D318" s="6" t="s">
        <v>3541</v>
      </c>
      <c r="E318" s="3" t="s">
        <v>3542</v>
      </c>
      <c r="F318" s="4" t="s">
        <v>58</v>
      </c>
      <c r="G318" s="3" t="s">
        <v>3440</v>
      </c>
      <c r="H318" s="3"/>
      <c r="I318" s="3" t="s">
        <v>865</v>
      </c>
      <c r="J318" s="3" t="s">
        <v>61</v>
      </c>
      <c r="K318" s="3">
        <v>67601</v>
      </c>
      <c r="L318" s="3" t="s">
        <v>1669</v>
      </c>
      <c r="M318" s="3"/>
      <c r="N318" s="3" t="s">
        <v>1670</v>
      </c>
      <c r="O318" s="3" t="s">
        <v>1671</v>
      </c>
      <c r="P318" s="3" t="s">
        <v>1672</v>
      </c>
      <c r="Q318" s="3"/>
      <c r="R318" s="3"/>
      <c r="S318" s="3" t="str">
        <f>"Jul 1-2"</f>
        <v>Jul 1-2</v>
      </c>
    </row>
    <row r="319" spans="1:19" ht="39" x14ac:dyDescent="0.25">
      <c r="A319" s="1">
        <v>41095</v>
      </c>
      <c r="B319" s="1">
        <v>41096</v>
      </c>
      <c r="C319" s="2">
        <f t="shared" si="7"/>
        <v>2</v>
      </c>
      <c r="D319" s="6" t="s">
        <v>3619</v>
      </c>
      <c r="E319" s="3" t="s">
        <v>3620</v>
      </c>
      <c r="F319" s="4" t="s">
        <v>58</v>
      </c>
      <c r="G319" s="3" t="s">
        <v>787</v>
      </c>
      <c r="H319" s="3" t="s">
        <v>788</v>
      </c>
      <c r="I319" s="3" t="s">
        <v>789</v>
      </c>
      <c r="J319" s="3" t="s">
        <v>61</v>
      </c>
      <c r="K319" s="3">
        <v>67834</v>
      </c>
      <c r="L319" s="3" t="s">
        <v>790</v>
      </c>
      <c r="M319" s="3"/>
      <c r="N319" s="3"/>
      <c r="O319" s="3" t="s">
        <v>791</v>
      </c>
      <c r="P319" s="3" t="s">
        <v>792</v>
      </c>
      <c r="Q319" s="3"/>
      <c r="R319" s="3" t="s">
        <v>67</v>
      </c>
      <c r="S319" s="3" t="str">
        <f>"Jul 5-6"</f>
        <v>Jul 5-6</v>
      </c>
    </row>
    <row r="320" spans="1:19" ht="39" x14ac:dyDescent="0.25">
      <c r="A320" s="1">
        <v>41103</v>
      </c>
      <c r="B320" s="1">
        <v>41104</v>
      </c>
      <c r="C320" s="2">
        <f t="shared" si="7"/>
        <v>2</v>
      </c>
      <c r="D320" s="6" t="s">
        <v>3634</v>
      </c>
      <c r="E320" s="3" t="s">
        <v>3635</v>
      </c>
      <c r="F320" s="4" t="s">
        <v>58</v>
      </c>
      <c r="G320" s="3" t="s">
        <v>1707</v>
      </c>
      <c r="H320" s="3" t="s">
        <v>3636</v>
      </c>
      <c r="I320" s="3" t="s">
        <v>865</v>
      </c>
      <c r="J320" s="3" t="s">
        <v>61</v>
      </c>
      <c r="K320" s="3">
        <v>67601</v>
      </c>
      <c r="L320" s="3" t="s">
        <v>1146</v>
      </c>
      <c r="M320" s="3"/>
      <c r="N320" s="3"/>
      <c r="O320" s="3" t="s">
        <v>1147</v>
      </c>
      <c r="P320" s="3" t="s">
        <v>2298</v>
      </c>
      <c r="Q320" s="3" t="s">
        <v>67</v>
      </c>
      <c r="R320" s="3"/>
      <c r="S320" s="3" t="str">
        <f>"Jul 13-14"</f>
        <v>Jul 13-14</v>
      </c>
    </row>
    <row r="321" spans="1:19" x14ac:dyDescent="0.25">
      <c r="A321" s="1">
        <v>41111</v>
      </c>
      <c r="B321" s="1">
        <v>41112</v>
      </c>
      <c r="C321" s="2">
        <f t="shared" si="7"/>
        <v>2</v>
      </c>
      <c r="D321" s="6" t="s">
        <v>3695</v>
      </c>
      <c r="E321" s="3" t="s">
        <v>3696</v>
      </c>
      <c r="F321" s="4" t="s">
        <v>58</v>
      </c>
      <c r="G321" s="3" t="s">
        <v>3697</v>
      </c>
      <c r="H321" s="3" t="s">
        <v>3698</v>
      </c>
      <c r="I321" s="3" t="s">
        <v>530</v>
      </c>
      <c r="J321" s="3" t="s">
        <v>61</v>
      </c>
      <c r="K321" s="3">
        <v>67460</v>
      </c>
      <c r="L321" s="3" t="s">
        <v>3699</v>
      </c>
      <c r="M321" s="3" t="s">
        <v>2395</v>
      </c>
      <c r="N321" s="3"/>
      <c r="O321" s="3" t="s">
        <v>3700</v>
      </c>
      <c r="P321" s="3" t="s">
        <v>534</v>
      </c>
      <c r="Q321" s="3"/>
      <c r="R321" s="3" t="s">
        <v>67</v>
      </c>
      <c r="S321" s="3" t="str">
        <f>"Jul 21-22"</f>
        <v>Jul 21-22</v>
      </c>
    </row>
    <row r="322" spans="1:19" ht="39" x14ac:dyDescent="0.25">
      <c r="A322" s="1">
        <v>41111</v>
      </c>
      <c r="B322" s="1">
        <v>41112</v>
      </c>
      <c r="C322" s="2">
        <f t="shared" ref="C322:C385" si="8">(B322-A322)+1</f>
        <v>2</v>
      </c>
      <c r="D322" s="6" t="s">
        <v>3688</v>
      </c>
      <c r="E322" s="3" t="s">
        <v>3689</v>
      </c>
      <c r="F322" s="4" t="s">
        <v>58</v>
      </c>
      <c r="G322" s="3" t="s">
        <v>3690</v>
      </c>
      <c r="H322" s="3" t="s">
        <v>3691</v>
      </c>
      <c r="I322" s="3" t="s">
        <v>888</v>
      </c>
      <c r="J322" s="3" t="s">
        <v>61</v>
      </c>
      <c r="K322" s="3">
        <v>66032</v>
      </c>
      <c r="L322" s="3" t="s">
        <v>3692</v>
      </c>
      <c r="M322" s="3"/>
      <c r="N322" s="3"/>
      <c r="O322" s="3" t="s">
        <v>3693</v>
      </c>
      <c r="P322" s="3" t="s">
        <v>3694</v>
      </c>
      <c r="Q322" s="3"/>
      <c r="R322" s="3"/>
      <c r="S322" s="3" t="str">
        <f>"Jul 21-22"</f>
        <v>Jul 21-22</v>
      </c>
    </row>
    <row r="323" spans="1:19" ht="26.25" x14ac:dyDescent="0.25">
      <c r="A323" s="1">
        <v>41117</v>
      </c>
      <c r="B323" s="1">
        <v>41118</v>
      </c>
      <c r="C323" s="2">
        <f t="shared" si="8"/>
        <v>2</v>
      </c>
      <c r="D323" s="6" t="s">
        <v>3726</v>
      </c>
      <c r="E323" s="3" t="s">
        <v>3727</v>
      </c>
      <c r="F323" s="4" t="s">
        <v>58</v>
      </c>
      <c r="G323" s="3" t="s">
        <v>3728</v>
      </c>
      <c r="H323" s="3" t="s">
        <v>3729</v>
      </c>
      <c r="I323" s="3" t="s">
        <v>91</v>
      </c>
      <c r="J323" s="3" t="s">
        <v>61</v>
      </c>
      <c r="K323" s="3">
        <v>66801</v>
      </c>
      <c r="L323" s="3" t="s">
        <v>1712</v>
      </c>
      <c r="M323" s="3"/>
      <c r="N323" s="3"/>
      <c r="O323" s="3" t="s">
        <v>3730</v>
      </c>
      <c r="P323" s="3"/>
      <c r="Q323" s="3" t="s">
        <v>67</v>
      </c>
      <c r="R323" s="3" t="s">
        <v>67</v>
      </c>
      <c r="S323" s="3" t="str">
        <f>"Jul 27-28"</f>
        <v>Jul 27-28</v>
      </c>
    </row>
    <row r="324" spans="1:19" ht="39" x14ac:dyDescent="0.25">
      <c r="A324" s="1">
        <v>41124</v>
      </c>
      <c r="B324" s="1">
        <v>41125</v>
      </c>
      <c r="C324" s="2">
        <f t="shared" si="8"/>
        <v>2</v>
      </c>
      <c r="D324" s="6" t="s">
        <v>3766</v>
      </c>
      <c r="E324" s="3" t="s">
        <v>3767</v>
      </c>
      <c r="F324" s="4" t="s">
        <v>58</v>
      </c>
      <c r="G324" s="3" t="s">
        <v>3755</v>
      </c>
      <c r="H324" s="3" t="s">
        <v>3768</v>
      </c>
      <c r="I324" s="3" t="s">
        <v>1247</v>
      </c>
      <c r="J324" s="3" t="s">
        <v>61</v>
      </c>
      <c r="K324" s="3">
        <v>66935</v>
      </c>
      <c r="L324" s="3" t="s">
        <v>3769</v>
      </c>
      <c r="M324" s="3"/>
      <c r="N324" s="3"/>
      <c r="O324" s="3"/>
      <c r="P324" s="3" t="s">
        <v>3770</v>
      </c>
      <c r="Q324" s="3"/>
      <c r="R324" s="3" t="s">
        <v>67</v>
      </c>
      <c r="S324" s="3" t="str">
        <f>"Aug 3-4"</f>
        <v>Aug 3-4</v>
      </c>
    </row>
    <row r="325" spans="1:19" ht="39" x14ac:dyDescent="0.25">
      <c r="A325" s="1">
        <v>41125</v>
      </c>
      <c r="B325" s="1">
        <v>41126</v>
      </c>
      <c r="C325" s="2">
        <f t="shared" si="8"/>
        <v>2</v>
      </c>
      <c r="D325" s="6" t="s">
        <v>3785</v>
      </c>
      <c r="E325" s="3" t="s">
        <v>3786</v>
      </c>
      <c r="F325" s="4" t="s">
        <v>58</v>
      </c>
      <c r="G325" s="3" t="s">
        <v>3787</v>
      </c>
      <c r="H325" s="3" t="s">
        <v>1212</v>
      </c>
      <c r="I325" s="3" t="s">
        <v>888</v>
      </c>
      <c r="J325" s="3" t="s">
        <v>61</v>
      </c>
      <c r="K325" s="3">
        <v>66032</v>
      </c>
      <c r="L325" s="3" t="s">
        <v>3788</v>
      </c>
      <c r="M325" s="3"/>
      <c r="N325" s="3"/>
      <c r="O325" s="3" t="s">
        <v>3789</v>
      </c>
      <c r="P325" s="3" t="s">
        <v>3790</v>
      </c>
      <c r="Q325" s="3"/>
      <c r="R325" s="3" t="s">
        <v>67</v>
      </c>
      <c r="S325" s="3" t="str">
        <f>"Aug 4-5"</f>
        <v>Aug 4-5</v>
      </c>
    </row>
    <row r="326" spans="1:19" ht="26.25" x14ac:dyDescent="0.25">
      <c r="A326" s="1">
        <v>41137</v>
      </c>
      <c r="B326" s="1">
        <v>41138</v>
      </c>
      <c r="C326" s="2">
        <f t="shared" si="8"/>
        <v>2</v>
      </c>
      <c r="D326" s="6" t="s">
        <v>3821</v>
      </c>
      <c r="E326" s="3" t="s">
        <v>3822</v>
      </c>
      <c r="F326" s="4" t="s">
        <v>58</v>
      </c>
      <c r="G326" s="3" t="s">
        <v>787</v>
      </c>
      <c r="H326" s="3" t="s">
        <v>788</v>
      </c>
      <c r="I326" s="3" t="s">
        <v>789</v>
      </c>
      <c r="J326" s="3" t="s">
        <v>61</v>
      </c>
      <c r="K326" s="3">
        <v>67834</v>
      </c>
      <c r="L326" s="3" t="s">
        <v>790</v>
      </c>
      <c r="M326" s="3"/>
      <c r="N326" s="3"/>
      <c r="O326" s="3" t="s">
        <v>791</v>
      </c>
      <c r="P326" s="3" t="s">
        <v>3049</v>
      </c>
      <c r="Q326" s="3"/>
      <c r="R326" s="3" t="s">
        <v>67</v>
      </c>
      <c r="S326" s="3" t="str">
        <f>"Aug 16-17"</f>
        <v>Aug 16-17</v>
      </c>
    </row>
    <row r="327" spans="1:19" x14ac:dyDescent="0.25">
      <c r="A327" s="1">
        <v>41138</v>
      </c>
      <c r="B327" s="1">
        <v>41139</v>
      </c>
      <c r="C327" s="2">
        <f t="shared" si="8"/>
        <v>2</v>
      </c>
      <c r="D327" s="6" t="s">
        <v>897</v>
      </c>
      <c r="E327" s="3" t="s">
        <v>897</v>
      </c>
      <c r="F327" s="4" t="s">
        <v>58</v>
      </c>
      <c r="G327" s="3" t="s">
        <v>297</v>
      </c>
      <c r="H327" s="3"/>
      <c r="I327" s="3" t="s">
        <v>60</v>
      </c>
      <c r="J327" s="3" t="s">
        <v>61</v>
      </c>
      <c r="K327" s="3">
        <v>66606</v>
      </c>
      <c r="L327" s="3" t="s">
        <v>298</v>
      </c>
      <c r="M327" s="3"/>
      <c r="N327" s="3"/>
      <c r="O327" s="3"/>
      <c r="P327" s="3" t="s">
        <v>299</v>
      </c>
      <c r="Q327" s="3" t="s">
        <v>67</v>
      </c>
      <c r="R327" s="3" t="s">
        <v>67</v>
      </c>
      <c r="S327" s="3" t="str">
        <f>"Aug 17-18"</f>
        <v>Aug 17-18</v>
      </c>
    </row>
    <row r="328" spans="1:19" ht="39" x14ac:dyDescent="0.25">
      <c r="A328" s="1">
        <v>41155</v>
      </c>
      <c r="B328" s="1">
        <v>41156</v>
      </c>
      <c r="C328" s="2">
        <f t="shared" si="8"/>
        <v>2</v>
      </c>
      <c r="D328" s="6" t="s">
        <v>3884</v>
      </c>
      <c r="E328" s="3" t="s">
        <v>3885</v>
      </c>
      <c r="F328" s="4" t="s">
        <v>58</v>
      </c>
      <c r="G328" s="3" t="s">
        <v>787</v>
      </c>
      <c r="H328" s="3" t="s">
        <v>788</v>
      </c>
      <c r="I328" s="3" t="s">
        <v>789</v>
      </c>
      <c r="J328" s="3" t="s">
        <v>61</v>
      </c>
      <c r="K328" s="3">
        <v>67834</v>
      </c>
      <c r="L328" s="3" t="s">
        <v>790</v>
      </c>
      <c r="M328" s="3"/>
      <c r="N328" s="3"/>
      <c r="O328" s="3" t="s">
        <v>791</v>
      </c>
      <c r="P328" s="3" t="s">
        <v>792</v>
      </c>
      <c r="Q328" s="3"/>
      <c r="R328" s="3" t="s">
        <v>67</v>
      </c>
      <c r="S328" s="3" t="str">
        <f>"Sep 3-4"</f>
        <v>Sep 3-4</v>
      </c>
    </row>
    <row r="329" spans="1:19" ht="26.25" x14ac:dyDescent="0.25">
      <c r="A329" s="1">
        <v>41160</v>
      </c>
      <c r="B329" s="1">
        <v>41161</v>
      </c>
      <c r="C329" s="2">
        <f t="shared" si="8"/>
        <v>2</v>
      </c>
      <c r="D329" s="6" t="s">
        <v>3920</v>
      </c>
      <c r="E329" s="3" t="s">
        <v>3921</v>
      </c>
      <c r="F329" s="4" t="s">
        <v>58</v>
      </c>
      <c r="G329" s="3" t="s">
        <v>3922</v>
      </c>
      <c r="H329" s="3" t="s">
        <v>3923</v>
      </c>
      <c r="I329" s="3" t="s">
        <v>105</v>
      </c>
      <c r="J329" s="3" t="s">
        <v>61</v>
      </c>
      <c r="K329" s="3">
        <v>66044</v>
      </c>
      <c r="L329" s="3" t="s">
        <v>3924</v>
      </c>
      <c r="M329" s="3"/>
      <c r="N329" s="3"/>
      <c r="O329" s="3"/>
      <c r="P329" s="3" t="s">
        <v>3925</v>
      </c>
      <c r="Q329" s="3"/>
      <c r="R329" s="3"/>
      <c r="S329" s="3" t="str">
        <f>"Sep 8-9"</f>
        <v>Sep 8-9</v>
      </c>
    </row>
    <row r="330" spans="1:19" ht="39" x14ac:dyDescent="0.25">
      <c r="A330" s="1">
        <v>41167</v>
      </c>
      <c r="B330" s="1">
        <v>41168</v>
      </c>
      <c r="C330" s="2">
        <f t="shared" si="8"/>
        <v>2</v>
      </c>
      <c r="D330" s="6" t="s">
        <v>3950</v>
      </c>
      <c r="E330" s="3" t="s">
        <v>3951</v>
      </c>
      <c r="F330" s="4" t="s">
        <v>58</v>
      </c>
      <c r="G330" s="3" t="s">
        <v>3952</v>
      </c>
      <c r="H330" s="3"/>
      <c r="I330" s="3" t="s">
        <v>865</v>
      </c>
      <c r="J330" s="3" t="s">
        <v>61</v>
      </c>
      <c r="K330" s="3">
        <v>67601</v>
      </c>
      <c r="L330" s="3" t="s">
        <v>3953</v>
      </c>
      <c r="M330" s="3"/>
      <c r="N330" s="3"/>
      <c r="O330" s="3" t="s">
        <v>3954</v>
      </c>
      <c r="P330" s="3"/>
      <c r="Q330" s="3"/>
      <c r="R330" s="3" t="s">
        <v>67</v>
      </c>
      <c r="S330" s="3" t="str">
        <f>"Sep 15-16"</f>
        <v>Sep 15-16</v>
      </c>
    </row>
    <row r="331" spans="1:19" ht="39" x14ac:dyDescent="0.25">
      <c r="A331" s="1">
        <v>41180</v>
      </c>
      <c r="B331" s="1">
        <v>41181</v>
      </c>
      <c r="C331" s="2">
        <f t="shared" si="8"/>
        <v>2</v>
      </c>
      <c r="D331" s="6" t="s">
        <v>3972</v>
      </c>
      <c r="E331" s="3" t="s">
        <v>3973</v>
      </c>
      <c r="F331" s="4" t="s">
        <v>58</v>
      </c>
      <c r="G331" s="3" t="s">
        <v>3974</v>
      </c>
      <c r="H331" s="3" t="s">
        <v>3975</v>
      </c>
      <c r="I331" s="3" t="s">
        <v>1866</v>
      </c>
      <c r="J331" s="3" t="s">
        <v>61</v>
      </c>
      <c r="K331" s="3">
        <v>67104</v>
      </c>
      <c r="L331" s="3" t="s">
        <v>3976</v>
      </c>
      <c r="M331" s="3" t="s">
        <v>3977</v>
      </c>
      <c r="N331" s="3"/>
      <c r="O331" s="3" t="s">
        <v>3978</v>
      </c>
      <c r="P331" s="3" t="s">
        <v>3979</v>
      </c>
      <c r="Q331" s="3" t="s">
        <v>67</v>
      </c>
      <c r="R331" s="3"/>
      <c r="S331" s="3" t="str">
        <f>"Sep 28-29"</f>
        <v>Sep 28-29</v>
      </c>
    </row>
    <row r="332" spans="1:19" ht="26.25" x14ac:dyDescent="0.25">
      <c r="A332" s="18">
        <v>40817</v>
      </c>
      <c r="B332" s="18">
        <v>40817</v>
      </c>
      <c r="C332" s="2">
        <f t="shared" si="8"/>
        <v>1</v>
      </c>
      <c r="D332" s="6" t="s">
        <v>494</v>
      </c>
      <c r="E332" s="3" t="s">
        <v>495</v>
      </c>
      <c r="F332" s="4" t="s">
        <v>58</v>
      </c>
      <c r="G332" s="3" t="s">
        <v>215</v>
      </c>
      <c r="H332" s="3"/>
      <c r="I332" s="3" t="s">
        <v>496</v>
      </c>
      <c r="J332" s="3" t="s">
        <v>61</v>
      </c>
      <c r="K332" s="3">
        <v>66076</v>
      </c>
      <c r="L332" s="3" t="s">
        <v>497</v>
      </c>
      <c r="M332" s="3"/>
      <c r="N332" s="3"/>
      <c r="O332" s="3"/>
      <c r="P332" s="3"/>
      <c r="Q332" s="3"/>
      <c r="R332" s="3"/>
      <c r="S332" s="3" t="str">
        <f t="shared" ref="S332:S357" si="9">"Oct 1"</f>
        <v>Oct 1</v>
      </c>
    </row>
    <row r="333" spans="1:19" ht="26.25" x14ac:dyDescent="0.25">
      <c r="A333" s="18">
        <v>40817</v>
      </c>
      <c r="B333" s="18">
        <v>40817</v>
      </c>
      <c r="C333" s="2">
        <f t="shared" si="8"/>
        <v>1</v>
      </c>
      <c r="D333" s="6" t="s">
        <v>498</v>
      </c>
      <c r="E333" s="3" t="s">
        <v>499</v>
      </c>
      <c r="F333" s="4" t="s">
        <v>58</v>
      </c>
      <c r="G333" s="3" t="s">
        <v>399</v>
      </c>
      <c r="H333" s="3"/>
      <c r="I333" s="3" t="s">
        <v>400</v>
      </c>
      <c r="J333" s="3" t="s">
        <v>61</v>
      </c>
      <c r="K333" s="3">
        <v>66079</v>
      </c>
      <c r="L333" s="3" t="s">
        <v>500</v>
      </c>
      <c r="M333" s="3"/>
      <c r="N333" s="3"/>
      <c r="O333" s="3"/>
      <c r="P333" s="3" t="s">
        <v>403</v>
      </c>
      <c r="Q333" s="3"/>
      <c r="R333" s="3"/>
      <c r="S333" s="3" t="str">
        <f t="shared" si="9"/>
        <v>Oct 1</v>
      </c>
    </row>
    <row r="334" spans="1:19" x14ac:dyDescent="0.25">
      <c r="A334" s="18">
        <v>40817</v>
      </c>
      <c r="B334" s="18">
        <v>40817</v>
      </c>
      <c r="C334" s="2">
        <f t="shared" si="8"/>
        <v>1</v>
      </c>
      <c r="D334" s="6" t="s">
        <v>501</v>
      </c>
      <c r="E334" s="3" t="s">
        <v>502</v>
      </c>
      <c r="F334" s="5" t="s">
        <v>58</v>
      </c>
      <c r="G334" s="3" t="s">
        <v>503</v>
      </c>
      <c r="H334" s="3" t="s">
        <v>504</v>
      </c>
      <c r="I334" s="3" t="s">
        <v>505</v>
      </c>
      <c r="J334" s="3" t="s">
        <v>61</v>
      </c>
      <c r="K334" s="3">
        <v>67156</v>
      </c>
      <c r="L334" s="3" t="s">
        <v>506</v>
      </c>
      <c r="M334" s="3"/>
      <c r="N334" s="3"/>
      <c r="O334" s="3"/>
      <c r="P334" s="3"/>
      <c r="Q334" s="3" t="s">
        <v>67</v>
      </c>
      <c r="R334" s="3" t="s">
        <v>67</v>
      </c>
      <c r="S334" s="3" t="str">
        <f t="shared" si="9"/>
        <v>Oct 1</v>
      </c>
    </row>
    <row r="335" spans="1:19" x14ac:dyDescent="0.25">
      <c r="A335" s="18">
        <v>40817</v>
      </c>
      <c r="B335" s="18">
        <v>40817</v>
      </c>
      <c r="C335" s="2">
        <f t="shared" si="8"/>
        <v>1</v>
      </c>
      <c r="D335" s="6" t="s">
        <v>507</v>
      </c>
      <c r="E335" s="3" t="s">
        <v>508</v>
      </c>
      <c r="F335" s="4" t="s">
        <v>58</v>
      </c>
      <c r="G335" s="3" t="s">
        <v>509</v>
      </c>
      <c r="H335" s="3" t="s">
        <v>510</v>
      </c>
      <c r="I335" s="3" t="s">
        <v>125</v>
      </c>
      <c r="J335" s="3" t="s">
        <v>61</v>
      </c>
      <c r="K335" s="3">
        <v>67801</v>
      </c>
      <c r="L335" s="3" t="s">
        <v>511</v>
      </c>
      <c r="M335" s="3"/>
      <c r="N335" s="3"/>
      <c r="O335" s="3" t="s">
        <v>512</v>
      </c>
      <c r="P335" s="3" t="s">
        <v>513</v>
      </c>
      <c r="Q335" s="3" t="s">
        <v>67</v>
      </c>
      <c r="R335" s="3" t="s">
        <v>67</v>
      </c>
      <c r="S335" s="3" t="str">
        <f t="shared" si="9"/>
        <v>Oct 1</v>
      </c>
    </row>
    <row r="336" spans="1:19" ht="39" x14ac:dyDescent="0.25">
      <c r="A336" s="18">
        <v>40817</v>
      </c>
      <c r="B336" s="18">
        <v>40817</v>
      </c>
      <c r="C336" s="2">
        <f t="shared" si="8"/>
        <v>1</v>
      </c>
      <c r="D336" s="6" t="s">
        <v>514</v>
      </c>
      <c r="E336" s="3" t="s">
        <v>515</v>
      </c>
      <c r="F336" s="4" t="s">
        <v>58</v>
      </c>
      <c r="G336" s="3" t="s">
        <v>516</v>
      </c>
      <c r="H336" s="3" t="s">
        <v>517</v>
      </c>
      <c r="I336" s="3" t="s">
        <v>518</v>
      </c>
      <c r="J336" s="3" t="s">
        <v>61</v>
      </c>
      <c r="K336" s="3">
        <v>66006</v>
      </c>
      <c r="L336" s="3" t="s">
        <v>519</v>
      </c>
      <c r="M336" s="3"/>
      <c r="N336" s="3"/>
      <c r="O336" s="3" t="s">
        <v>520</v>
      </c>
      <c r="P336" s="3" t="s">
        <v>521</v>
      </c>
      <c r="Q336" s="3" t="s">
        <v>67</v>
      </c>
      <c r="R336" s="3"/>
      <c r="S336" s="3" t="str">
        <f t="shared" si="9"/>
        <v>Oct 1</v>
      </c>
    </row>
    <row r="337" spans="1:19" ht="39" x14ac:dyDescent="0.25">
      <c r="A337" s="18">
        <v>40817</v>
      </c>
      <c r="B337" s="18">
        <v>40817</v>
      </c>
      <c r="C337" s="2">
        <f t="shared" si="8"/>
        <v>1</v>
      </c>
      <c r="D337" s="6" t="s">
        <v>522</v>
      </c>
      <c r="E337" s="3" t="s">
        <v>523</v>
      </c>
      <c r="F337" s="4" t="s">
        <v>58</v>
      </c>
      <c r="G337" s="3" t="s">
        <v>524</v>
      </c>
      <c r="H337" s="3"/>
      <c r="I337" s="3" t="s">
        <v>525</v>
      </c>
      <c r="J337" s="3" t="s">
        <v>61</v>
      </c>
      <c r="K337" s="3">
        <v>67490</v>
      </c>
      <c r="L337" s="3" t="s">
        <v>526</v>
      </c>
      <c r="M337" s="3"/>
      <c r="N337" s="3"/>
      <c r="O337" s="3"/>
      <c r="P337" s="3"/>
      <c r="Q337" s="3"/>
      <c r="R337" s="3"/>
      <c r="S337" s="3" t="str">
        <f t="shared" si="9"/>
        <v>Oct 1</v>
      </c>
    </row>
    <row r="338" spans="1:19" ht="26.25" x14ac:dyDescent="0.25">
      <c r="A338" s="18">
        <v>40817</v>
      </c>
      <c r="B338" s="18">
        <v>40817</v>
      </c>
      <c r="C338" s="2">
        <f t="shared" si="8"/>
        <v>1</v>
      </c>
      <c r="D338" s="6" t="s">
        <v>527</v>
      </c>
      <c r="E338" s="3" t="s">
        <v>528</v>
      </c>
      <c r="F338" s="4" t="s">
        <v>58</v>
      </c>
      <c r="G338" s="3" t="s">
        <v>529</v>
      </c>
      <c r="H338" s="3"/>
      <c r="I338" s="3" t="s">
        <v>530</v>
      </c>
      <c r="J338" s="3" t="s">
        <v>61</v>
      </c>
      <c r="K338" s="3">
        <v>67460</v>
      </c>
      <c r="L338" s="3" t="s">
        <v>531</v>
      </c>
      <c r="M338" s="3"/>
      <c r="N338" s="3" t="s">
        <v>532</v>
      </c>
      <c r="O338" s="3" t="s">
        <v>533</v>
      </c>
      <c r="P338" s="3" t="s">
        <v>534</v>
      </c>
      <c r="Q338" s="3" t="s">
        <v>67</v>
      </c>
      <c r="R338" s="3"/>
      <c r="S338" s="3" t="str">
        <f t="shared" si="9"/>
        <v>Oct 1</v>
      </c>
    </row>
    <row r="339" spans="1:19" ht="39" x14ac:dyDescent="0.25">
      <c r="A339" s="18">
        <v>40817</v>
      </c>
      <c r="B339" s="18">
        <v>40817</v>
      </c>
      <c r="C339" s="2">
        <f t="shared" si="8"/>
        <v>1</v>
      </c>
      <c r="D339" s="6" t="s">
        <v>535</v>
      </c>
      <c r="E339" s="3" t="s">
        <v>536</v>
      </c>
      <c r="F339" s="4" t="s">
        <v>58</v>
      </c>
      <c r="G339" s="3" t="s">
        <v>537</v>
      </c>
      <c r="H339" s="3" t="s">
        <v>538</v>
      </c>
      <c r="I339" s="3" t="s">
        <v>227</v>
      </c>
      <c r="J339" s="3" t="s">
        <v>61</v>
      </c>
      <c r="K339" s="3">
        <v>67410</v>
      </c>
      <c r="L339" s="3" t="s">
        <v>539</v>
      </c>
      <c r="M339" s="3"/>
      <c r="N339" s="3"/>
      <c r="O339" s="3" t="s">
        <v>540</v>
      </c>
      <c r="P339" s="3" t="s">
        <v>541</v>
      </c>
      <c r="Q339" s="3" t="s">
        <v>67</v>
      </c>
      <c r="R339" s="3" t="s">
        <v>67</v>
      </c>
      <c r="S339" s="3" t="str">
        <f t="shared" si="9"/>
        <v>Oct 1</v>
      </c>
    </row>
    <row r="340" spans="1:19" ht="39" x14ac:dyDescent="0.25">
      <c r="A340" s="18">
        <v>40817</v>
      </c>
      <c r="B340" s="18">
        <v>40817</v>
      </c>
      <c r="C340" s="2">
        <f t="shared" si="8"/>
        <v>1</v>
      </c>
      <c r="D340" s="6" t="s">
        <v>542</v>
      </c>
      <c r="E340" s="3" t="s">
        <v>543</v>
      </c>
      <c r="F340" s="4" t="s">
        <v>58</v>
      </c>
      <c r="G340" s="3" t="s">
        <v>544</v>
      </c>
      <c r="H340" s="3"/>
      <c r="I340" s="3" t="s">
        <v>545</v>
      </c>
      <c r="J340" s="3" t="s">
        <v>61</v>
      </c>
      <c r="K340" s="3">
        <v>66075</v>
      </c>
      <c r="L340" s="3" t="s">
        <v>546</v>
      </c>
      <c r="M340" s="3"/>
      <c r="N340" s="3"/>
      <c r="O340" s="3" t="s">
        <v>547</v>
      </c>
      <c r="P340" s="3" t="s">
        <v>548</v>
      </c>
      <c r="Q340" s="3" t="s">
        <v>67</v>
      </c>
      <c r="R340" s="3" t="s">
        <v>67</v>
      </c>
      <c r="S340" s="3" t="str">
        <f t="shared" si="9"/>
        <v>Oct 1</v>
      </c>
    </row>
    <row r="341" spans="1:19" ht="26.25" x14ac:dyDescent="0.25">
      <c r="A341" s="18">
        <v>40817</v>
      </c>
      <c r="B341" s="18">
        <v>40817</v>
      </c>
      <c r="C341" s="2">
        <f t="shared" si="8"/>
        <v>1</v>
      </c>
      <c r="D341" s="6" t="s">
        <v>549</v>
      </c>
      <c r="E341" s="3" t="s">
        <v>550</v>
      </c>
      <c r="F341" s="4" t="s">
        <v>58</v>
      </c>
      <c r="G341" s="3" t="s">
        <v>551</v>
      </c>
      <c r="H341" s="3" t="s">
        <v>552</v>
      </c>
      <c r="I341" s="3" t="s">
        <v>60</v>
      </c>
      <c r="J341" s="3" t="s">
        <v>61</v>
      </c>
      <c r="K341" s="3">
        <v>66621</v>
      </c>
      <c r="L341" s="3" t="s">
        <v>553</v>
      </c>
      <c r="M341" s="3"/>
      <c r="N341" s="3"/>
      <c r="O341" s="3"/>
      <c r="P341" s="3" t="s">
        <v>554</v>
      </c>
      <c r="Q341" s="3" t="s">
        <v>67</v>
      </c>
      <c r="R341" s="3" t="s">
        <v>67</v>
      </c>
      <c r="S341" s="3" t="str">
        <f t="shared" si="9"/>
        <v>Oct 1</v>
      </c>
    </row>
    <row r="342" spans="1:19" ht="39" x14ac:dyDescent="0.25">
      <c r="A342" s="18">
        <v>40817</v>
      </c>
      <c r="B342" s="18">
        <v>40817</v>
      </c>
      <c r="C342" s="2">
        <f t="shared" si="8"/>
        <v>1</v>
      </c>
      <c r="D342" s="6" t="s">
        <v>555</v>
      </c>
      <c r="E342" s="3" t="s">
        <v>556</v>
      </c>
      <c r="F342" s="4" t="s">
        <v>58</v>
      </c>
      <c r="G342" s="3" t="s">
        <v>557</v>
      </c>
      <c r="H342" s="3"/>
      <c r="I342" s="3" t="s">
        <v>558</v>
      </c>
      <c r="J342" s="3" t="s">
        <v>61</v>
      </c>
      <c r="K342" s="3">
        <v>67880</v>
      </c>
      <c r="L342" s="3" t="s">
        <v>559</v>
      </c>
      <c r="M342" s="3"/>
      <c r="N342" s="3" t="s">
        <v>560</v>
      </c>
      <c r="O342" s="3" t="s">
        <v>561</v>
      </c>
      <c r="P342" s="3" t="s">
        <v>562</v>
      </c>
      <c r="Q342" s="3" t="s">
        <v>67</v>
      </c>
      <c r="R342" s="3"/>
      <c r="S342" s="3" t="str">
        <f t="shared" si="9"/>
        <v>Oct 1</v>
      </c>
    </row>
    <row r="343" spans="1:19" ht="26.25" x14ac:dyDescent="0.25">
      <c r="A343" s="18">
        <v>40817</v>
      </c>
      <c r="B343" s="18">
        <v>40817</v>
      </c>
      <c r="C343" s="2">
        <f t="shared" si="8"/>
        <v>1</v>
      </c>
      <c r="D343" s="6" t="s">
        <v>563</v>
      </c>
      <c r="E343" s="3" t="s">
        <v>564</v>
      </c>
      <c r="F343" s="4" t="s">
        <v>58</v>
      </c>
      <c r="G343" s="3" t="s">
        <v>565</v>
      </c>
      <c r="H343" s="3"/>
      <c r="I343" s="3" t="s">
        <v>505</v>
      </c>
      <c r="J343" s="3" t="s">
        <v>61</v>
      </c>
      <c r="K343" s="3">
        <v>67156</v>
      </c>
      <c r="L343" s="3" t="s">
        <v>566</v>
      </c>
      <c r="M343" s="3"/>
      <c r="N343" s="3"/>
      <c r="O343" s="3"/>
      <c r="P343" s="3"/>
      <c r="Q343" s="3" t="s">
        <v>67</v>
      </c>
      <c r="R343" s="3"/>
      <c r="S343" s="3" t="str">
        <f t="shared" si="9"/>
        <v>Oct 1</v>
      </c>
    </row>
    <row r="344" spans="1:19" ht="39" x14ac:dyDescent="0.25">
      <c r="A344" s="18">
        <v>40817</v>
      </c>
      <c r="B344" s="18">
        <v>40817</v>
      </c>
      <c r="C344" s="2">
        <f t="shared" si="8"/>
        <v>1</v>
      </c>
      <c r="D344" s="6" t="s">
        <v>567</v>
      </c>
      <c r="E344" s="3" t="s">
        <v>568</v>
      </c>
      <c r="F344" s="4" t="s">
        <v>58</v>
      </c>
      <c r="G344" s="3" t="s">
        <v>569</v>
      </c>
      <c r="H344" s="3" t="s">
        <v>570</v>
      </c>
      <c r="I344" s="3" t="s">
        <v>571</v>
      </c>
      <c r="J344" s="3" t="s">
        <v>61</v>
      </c>
      <c r="K344" s="3">
        <v>67445</v>
      </c>
      <c r="L344" s="3" t="s">
        <v>572</v>
      </c>
      <c r="M344" s="3"/>
      <c r="N344" s="3"/>
      <c r="O344" s="3"/>
      <c r="P344" s="3"/>
      <c r="Q344" s="3" t="s">
        <v>67</v>
      </c>
      <c r="R344" s="3"/>
      <c r="S344" s="3" t="str">
        <f t="shared" si="9"/>
        <v>Oct 1</v>
      </c>
    </row>
    <row r="345" spans="1:19" ht="26.25" x14ac:dyDescent="0.25">
      <c r="A345" s="18">
        <v>40817</v>
      </c>
      <c r="B345" s="18">
        <v>40817</v>
      </c>
      <c r="C345" s="2">
        <f t="shared" si="8"/>
        <v>1</v>
      </c>
      <c r="D345" s="6" t="s">
        <v>573</v>
      </c>
      <c r="E345" s="3" t="s">
        <v>574</v>
      </c>
      <c r="F345" s="4" t="s">
        <v>58</v>
      </c>
      <c r="G345" s="3" t="s">
        <v>575</v>
      </c>
      <c r="H345" s="3" t="s">
        <v>570</v>
      </c>
      <c r="I345" s="3" t="s">
        <v>571</v>
      </c>
      <c r="J345" s="3" t="s">
        <v>61</v>
      </c>
      <c r="K345" s="3">
        <v>67445</v>
      </c>
      <c r="L345" s="3" t="s">
        <v>576</v>
      </c>
      <c r="M345" s="3"/>
      <c r="N345" s="3"/>
      <c r="O345" s="3"/>
      <c r="P345" s="3"/>
      <c r="Q345" s="3" t="s">
        <v>67</v>
      </c>
      <c r="R345" s="3"/>
      <c r="S345" s="3" t="str">
        <f t="shared" si="9"/>
        <v>Oct 1</v>
      </c>
    </row>
    <row r="346" spans="1:19" ht="26.25" x14ac:dyDescent="0.25">
      <c r="A346" s="18">
        <v>40817</v>
      </c>
      <c r="B346" s="18">
        <v>40817</v>
      </c>
      <c r="C346" s="2">
        <f t="shared" si="8"/>
        <v>1</v>
      </c>
      <c r="D346" s="6" t="s">
        <v>577</v>
      </c>
      <c r="E346" s="3" t="s">
        <v>578</v>
      </c>
      <c r="F346" s="4" t="s">
        <v>58</v>
      </c>
      <c r="G346" s="3" t="s">
        <v>579</v>
      </c>
      <c r="H346" s="3"/>
      <c r="I346" s="3" t="s">
        <v>580</v>
      </c>
      <c r="J346" s="3" t="s">
        <v>61</v>
      </c>
      <c r="K346" s="3">
        <v>67053</v>
      </c>
      <c r="L346" s="3" t="s">
        <v>581</v>
      </c>
      <c r="M346" s="3"/>
      <c r="N346" s="3" t="s">
        <v>582</v>
      </c>
      <c r="O346" s="3" t="s">
        <v>583</v>
      </c>
      <c r="P346" s="3" t="s">
        <v>584</v>
      </c>
      <c r="Q346" s="3" t="s">
        <v>67</v>
      </c>
      <c r="R346" s="3"/>
      <c r="S346" s="3" t="str">
        <f t="shared" si="9"/>
        <v>Oct 1</v>
      </c>
    </row>
    <row r="347" spans="1:19" ht="26.25" x14ac:dyDescent="0.25">
      <c r="A347" s="18">
        <v>40817</v>
      </c>
      <c r="B347" s="18">
        <v>40817</v>
      </c>
      <c r="C347" s="2">
        <f t="shared" si="8"/>
        <v>1</v>
      </c>
      <c r="D347" s="6" t="s">
        <v>585</v>
      </c>
      <c r="E347" s="3" t="s">
        <v>586</v>
      </c>
      <c r="F347" s="4" t="s">
        <v>58</v>
      </c>
      <c r="G347" s="3" t="s">
        <v>587</v>
      </c>
      <c r="H347" s="3" t="s">
        <v>588</v>
      </c>
      <c r="I347" s="3" t="s">
        <v>589</v>
      </c>
      <c r="J347" s="3" t="s">
        <v>61</v>
      </c>
      <c r="K347" s="3">
        <v>66548</v>
      </c>
      <c r="L347" s="3" t="s">
        <v>590</v>
      </c>
      <c r="M347" s="3"/>
      <c r="N347" s="3"/>
      <c r="O347" s="3"/>
      <c r="P347" s="3"/>
      <c r="Q347" s="3"/>
      <c r="R347" s="3"/>
      <c r="S347" s="3" t="str">
        <f t="shared" si="9"/>
        <v>Oct 1</v>
      </c>
    </row>
    <row r="348" spans="1:19" ht="26.25" x14ac:dyDescent="0.25">
      <c r="A348" s="18">
        <v>40817</v>
      </c>
      <c r="B348" s="18">
        <v>40817</v>
      </c>
      <c r="C348" s="2">
        <f t="shared" si="8"/>
        <v>1</v>
      </c>
      <c r="D348" s="6" t="s">
        <v>591</v>
      </c>
      <c r="E348" s="3" t="s">
        <v>592</v>
      </c>
      <c r="F348" s="4" t="s">
        <v>58</v>
      </c>
      <c r="G348" s="3" t="s">
        <v>593</v>
      </c>
      <c r="H348" s="3"/>
      <c r="I348" s="3" t="s">
        <v>594</v>
      </c>
      <c r="J348" s="3" t="s">
        <v>61</v>
      </c>
      <c r="K348" s="3">
        <v>67114</v>
      </c>
      <c r="L348" s="3" t="s">
        <v>595</v>
      </c>
      <c r="M348" s="3"/>
      <c r="N348" s="3"/>
      <c r="O348" s="3" t="s">
        <v>596</v>
      </c>
      <c r="P348" s="3"/>
      <c r="Q348" s="3" t="s">
        <v>67</v>
      </c>
      <c r="R348" s="3"/>
      <c r="S348" s="3" t="str">
        <f t="shared" si="9"/>
        <v>Oct 1</v>
      </c>
    </row>
    <row r="349" spans="1:19" ht="26.25" x14ac:dyDescent="0.25">
      <c r="A349" s="18">
        <v>40817</v>
      </c>
      <c r="B349" s="18">
        <v>40817</v>
      </c>
      <c r="C349" s="2">
        <f t="shared" si="8"/>
        <v>1</v>
      </c>
      <c r="D349" s="6" t="s">
        <v>597</v>
      </c>
      <c r="E349" s="3" t="s">
        <v>598</v>
      </c>
      <c r="F349" s="4" t="s">
        <v>58</v>
      </c>
      <c r="G349" s="3" t="s">
        <v>599</v>
      </c>
      <c r="H349" s="3" t="s">
        <v>600</v>
      </c>
      <c r="I349" s="3" t="s">
        <v>227</v>
      </c>
      <c r="J349" s="3" t="s">
        <v>61</v>
      </c>
      <c r="K349" s="3">
        <v>67410</v>
      </c>
      <c r="L349" s="3" t="s">
        <v>601</v>
      </c>
      <c r="M349" s="3"/>
      <c r="N349" s="3"/>
      <c r="O349" s="3" t="s">
        <v>602</v>
      </c>
      <c r="P349" s="3" t="s">
        <v>603</v>
      </c>
      <c r="Q349" s="3"/>
      <c r="R349" s="3"/>
      <c r="S349" s="3" t="str">
        <f t="shared" si="9"/>
        <v>Oct 1</v>
      </c>
    </row>
    <row r="350" spans="1:19" ht="26.25" x14ac:dyDescent="0.25">
      <c r="A350" s="18">
        <v>40817</v>
      </c>
      <c r="B350" s="18">
        <v>40817</v>
      </c>
      <c r="C350" s="2">
        <f t="shared" si="8"/>
        <v>1</v>
      </c>
      <c r="D350" s="6" t="s">
        <v>604</v>
      </c>
      <c r="E350" s="3" t="s">
        <v>605</v>
      </c>
      <c r="F350" s="4" t="s">
        <v>58</v>
      </c>
      <c r="G350" s="3" t="s">
        <v>606</v>
      </c>
      <c r="H350" s="3" t="s">
        <v>607</v>
      </c>
      <c r="I350" s="3" t="s">
        <v>60</v>
      </c>
      <c r="J350" s="3" t="s">
        <v>61</v>
      </c>
      <c r="K350" s="3">
        <v>66603</v>
      </c>
      <c r="L350" s="3" t="s">
        <v>608</v>
      </c>
      <c r="M350" s="3"/>
      <c r="N350" s="3"/>
      <c r="O350" s="3"/>
      <c r="P350" s="3" t="s">
        <v>609</v>
      </c>
      <c r="Q350" s="3" t="s">
        <v>67</v>
      </c>
      <c r="R350" s="3" t="s">
        <v>67</v>
      </c>
      <c r="S350" s="3" t="str">
        <f t="shared" si="9"/>
        <v>Oct 1</v>
      </c>
    </row>
    <row r="351" spans="1:19" ht="26.25" x14ac:dyDescent="0.25">
      <c r="A351" s="18">
        <v>40817</v>
      </c>
      <c r="B351" s="18">
        <v>40817</v>
      </c>
      <c r="C351" s="2">
        <f t="shared" si="8"/>
        <v>1</v>
      </c>
      <c r="D351" s="6" t="s">
        <v>610</v>
      </c>
      <c r="E351" s="3" t="s">
        <v>611</v>
      </c>
      <c r="F351" s="4" t="s">
        <v>58</v>
      </c>
      <c r="G351" s="3" t="s">
        <v>612</v>
      </c>
      <c r="H351" s="3"/>
      <c r="I351" s="3" t="s">
        <v>613</v>
      </c>
      <c r="J351" s="3" t="s">
        <v>61</v>
      </c>
      <c r="K351" s="3">
        <v>66850</v>
      </c>
      <c r="L351" s="3" t="s">
        <v>614</v>
      </c>
      <c r="M351" s="3"/>
      <c r="N351" s="3"/>
      <c r="O351" s="3" t="s">
        <v>615</v>
      </c>
      <c r="P351" s="3" t="s">
        <v>616</v>
      </c>
      <c r="Q351" s="3" t="s">
        <v>67</v>
      </c>
      <c r="R351" s="3" t="s">
        <v>67</v>
      </c>
      <c r="S351" s="3" t="str">
        <f t="shared" si="9"/>
        <v>Oct 1</v>
      </c>
    </row>
    <row r="352" spans="1:19" ht="26.25" x14ac:dyDescent="0.25">
      <c r="A352" s="18">
        <v>40817</v>
      </c>
      <c r="B352" s="18">
        <v>40817</v>
      </c>
      <c r="C352" s="2">
        <f t="shared" si="8"/>
        <v>1</v>
      </c>
      <c r="D352" s="6" t="s">
        <v>617</v>
      </c>
      <c r="E352" s="3" t="s">
        <v>618</v>
      </c>
      <c r="F352" s="4" t="s">
        <v>58</v>
      </c>
      <c r="G352" s="3" t="s">
        <v>619</v>
      </c>
      <c r="H352" s="3" t="s">
        <v>620</v>
      </c>
      <c r="I352" s="3" t="s">
        <v>303</v>
      </c>
      <c r="J352" s="3" t="s">
        <v>61</v>
      </c>
      <c r="K352" s="3">
        <v>66502</v>
      </c>
      <c r="L352" s="3" t="s">
        <v>621</v>
      </c>
      <c r="M352" s="3" t="s">
        <v>622</v>
      </c>
      <c r="N352" s="3"/>
      <c r="O352" s="3" t="s">
        <v>623</v>
      </c>
      <c r="P352" s="3" t="s">
        <v>624</v>
      </c>
      <c r="Q352" s="3" t="s">
        <v>67</v>
      </c>
      <c r="R352" s="3" t="s">
        <v>67</v>
      </c>
      <c r="S352" s="3" t="str">
        <f t="shared" si="9"/>
        <v>Oct 1</v>
      </c>
    </row>
    <row r="353" spans="1:19" x14ac:dyDescent="0.25">
      <c r="A353" s="18">
        <v>40817</v>
      </c>
      <c r="B353" s="18">
        <v>40817</v>
      </c>
      <c r="C353" s="2">
        <f t="shared" si="8"/>
        <v>1</v>
      </c>
      <c r="D353" s="6" t="s">
        <v>625</v>
      </c>
      <c r="E353" s="3" t="s">
        <v>625</v>
      </c>
      <c r="F353" s="5" t="s">
        <v>58</v>
      </c>
      <c r="G353" s="3" t="s">
        <v>626</v>
      </c>
      <c r="H353" s="3"/>
      <c r="I353" s="3" t="s">
        <v>60</v>
      </c>
      <c r="J353" s="3" t="s">
        <v>61</v>
      </c>
      <c r="K353" s="3">
        <v>66603</v>
      </c>
      <c r="L353" s="3" t="s">
        <v>627</v>
      </c>
      <c r="M353" s="3"/>
      <c r="N353" s="3"/>
      <c r="O353" s="3"/>
      <c r="P353" s="3" t="s">
        <v>628</v>
      </c>
      <c r="Q353" s="3" t="s">
        <v>67</v>
      </c>
      <c r="R353" s="3"/>
      <c r="S353" s="3" t="str">
        <f t="shared" si="9"/>
        <v>Oct 1</v>
      </c>
    </row>
    <row r="354" spans="1:19" ht="39" x14ac:dyDescent="0.25">
      <c r="A354" s="18">
        <v>40817</v>
      </c>
      <c r="B354" s="18">
        <v>40817</v>
      </c>
      <c r="C354" s="2">
        <f t="shared" si="8"/>
        <v>1</v>
      </c>
      <c r="D354" s="6" t="s">
        <v>629</v>
      </c>
      <c r="E354" s="3" t="s">
        <v>630</v>
      </c>
      <c r="F354" s="4" t="s">
        <v>58</v>
      </c>
      <c r="G354" s="3" t="s">
        <v>631</v>
      </c>
      <c r="H354" s="3"/>
      <c r="I354" s="3" t="s">
        <v>210</v>
      </c>
      <c r="J354" s="3" t="s">
        <v>61</v>
      </c>
      <c r="K354" s="3">
        <v>66002</v>
      </c>
      <c r="L354" s="3" t="s">
        <v>272</v>
      </c>
      <c r="M354" s="3" t="s">
        <v>273</v>
      </c>
      <c r="N354" s="3"/>
      <c r="O354" s="3"/>
      <c r="P354" s="3"/>
      <c r="Q354" s="3" t="s">
        <v>67</v>
      </c>
      <c r="R354" s="3"/>
      <c r="S354" s="3" t="str">
        <f t="shared" si="9"/>
        <v>Oct 1</v>
      </c>
    </row>
    <row r="355" spans="1:19" ht="39" x14ac:dyDescent="0.25">
      <c r="A355" s="18">
        <v>40817</v>
      </c>
      <c r="B355" s="18">
        <v>40817</v>
      </c>
      <c r="C355" s="2">
        <f t="shared" si="8"/>
        <v>1</v>
      </c>
      <c r="D355" s="6" t="s">
        <v>632</v>
      </c>
      <c r="E355" s="3" t="s">
        <v>633</v>
      </c>
      <c r="F355" s="4" t="s">
        <v>58</v>
      </c>
      <c r="G355" s="3" t="s">
        <v>634</v>
      </c>
      <c r="H355" s="3" t="s">
        <v>635</v>
      </c>
      <c r="I355" s="3" t="s">
        <v>636</v>
      </c>
      <c r="J355" s="3" t="s">
        <v>61</v>
      </c>
      <c r="K355" s="3" t="s">
        <v>637</v>
      </c>
      <c r="L355" s="3" t="s">
        <v>638</v>
      </c>
      <c r="M355" s="3"/>
      <c r="N355" s="3"/>
      <c r="O355" s="3" t="s">
        <v>639</v>
      </c>
      <c r="P355" s="3" t="s">
        <v>640</v>
      </c>
      <c r="Q355" s="3"/>
      <c r="R355" s="3"/>
      <c r="S355" s="3" t="str">
        <f t="shared" si="9"/>
        <v>Oct 1</v>
      </c>
    </row>
    <row r="356" spans="1:19" x14ac:dyDescent="0.25">
      <c r="A356" s="18">
        <v>40817</v>
      </c>
      <c r="B356" s="18">
        <v>40817</v>
      </c>
      <c r="C356" s="2">
        <f t="shared" si="8"/>
        <v>1</v>
      </c>
      <c r="D356" s="6" t="s">
        <v>641</v>
      </c>
      <c r="E356" s="3" t="s">
        <v>642</v>
      </c>
      <c r="F356" s="4" t="s">
        <v>58</v>
      </c>
      <c r="G356" s="3" t="s">
        <v>643</v>
      </c>
      <c r="H356" s="3" t="s">
        <v>644</v>
      </c>
      <c r="I356" s="3" t="s">
        <v>34</v>
      </c>
      <c r="J356" s="3" t="s">
        <v>61</v>
      </c>
      <c r="K356" s="3">
        <v>66203</v>
      </c>
      <c r="L356" s="3" t="s">
        <v>645</v>
      </c>
      <c r="M356" s="3"/>
      <c r="N356" s="3"/>
      <c r="O356" s="3"/>
      <c r="P356" s="3" t="s">
        <v>646</v>
      </c>
      <c r="Q356" s="3"/>
      <c r="R356" s="3"/>
      <c r="S356" s="3" t="str">
        <f t="shared" si="9"/>
        <v>Oct 1</v>
      </c>
    </row>
    <row r="357" spans="1:19" ht="39" x14ac:dyDescent="0.25">
      <c r="A357" s="18">
        <v>40817</v>
      </c>
      <c r="B357" s="18">
        <v>40817</v>
      </c>
      <c r="C357" s="2">
        <f t="shared" si="8"/>
        <v>1</v>
      </c>
      <c r="D357" s="6" t="s">
        <v>647</v>
      </c>
      <c r="E357" s="3" t="s">
        <v>648</v>
      </c>
      <c r="F357" s="4" t="s">
        <v>58</v>
      </c>
      <c r="G357" s="3" t="s">
        <v>649</v>
      </c>
      <c r="H357" s="3" t="s">
        <v>650</v>
      </c>
      <c r="I357" s="3" t="s">
        <v>407</v>
      </c>
      <c r="J357" s="3" t="s">
        <v>61</v>
      </c>
      <c r="K357" s="3">
        <v>67010</v>
      </c>
      <c r="L357" s="3" t="s">
        <v>651</v>
      </c>
      <c r="M357" s="3"/>
      <c r="N357" s="3"/>
      <c r="O357" s="3" t="s">
        <v>652</v>
      </c>
      <c r="P357" s="3" t="s">
        <v>653</v>
      </c>
      <c r="Q357" s="3" t="s">
        <v>67</v>
      </c>
      <c r="R357" s="3" t="s">
        <v>67</v>
      </c>
      <c r="S357" s="3" t="str">
        <f t="shared" si="9"/>
        <v>Oct 1</v>
      </c>
    </row>
    <row r="358" spans="1:19" ht="26.25" x14ac:dyDescent="0.25">
      <c r="A358" s="1">
        <v>40818</v>
      </c>
      <c r="B358" s="1">
        <v>40818</v>
      </c>
      <c r="C358" s="2">
        <f t="shared" si="8"/>
        <v>1</v>
      </c>
      <c r="D358" s="6" t="s">
        <v>735</v>
      </c>
      <c r="E358" s="3" t="s">
        <v>736</v>
      </c>
      <c r="F358" s="4" t="s">
        <v>58</v>
      </c>
      <c r="G358" s="3" t="s">
        <v>737</v>
      </c>
      <c r="H358" s="3" t="s">
        <v>738</v>
      </c>
      <c r="I358" s="3" t="s">
        <v>60</v>
      </c>
      <c r="J358" s="3" t="s">
        <v>61</v>
      </c>
      <c r="K358" s="3">
        <v>66603</v>
      </c>
      <c r="L358" s="3" t="s">
        <v>739</v>
      </c>
      <c r="M358" s="3"/>
      <c r="N358" s="3"/>
      <c r="O358" s="3" t="s">
        <v>740</v>
      </c>
      <c r="P358" s="3"/>
      <c r="Q358" s="3" t="s">
        <v>67</v>
      </c>
      <c r="R358" s="3" t="s">
        <v>67</v>
      </c>
      <c r="S358" s="3" t="str">
        <f>"Oct 2"</f>
        <v>Oct 2</v>
      </c>
    </row>
    <row r="359" spans="1:19" ht="26.25" x14ac:dyDescent="0.25">
      <c r="A359" s="1">
        <v>40818</v>
      </c>
      <c r="B359" s="1">
        <v>40818</v>
      </c>
      <c r="C359" s="2">
        <f t="shared" si="8"/>
        <v>1</v>
      </c>
      <c r="D359" s="6" t="s">
        <v>741</v>
      </c>
      <c r="E359" s="3" t="s">
        <v>742</v>
      </c>
      <c r="F359" s="4" t="s">
        <v>58</v>
      </c>
      <c r="G359" s="3" t="s">
        <v>271</v>
      </c>
      <c r="H359" s="3"/>
      <c r="I359" s="3" t="s">
        <v>210</v>
      </c>
      <c r="J359" s="3" t="s">
        <v>61</v>
      </c>
      <c r="K359" s="3">
        <v>66002</v>
      </c>
      <c r="L359" s="3" t="s">
        <v>743</v>
      </c>
      <c r="M359" s="3"/>
      <c r="N359" s="3"/>
      <c r="O359" s="3"/>
      <c r="P359" s="3"/>
      <c r="Q359" s="3"/>
      <c r="R359" s="3"/>
      <c r="S359" s="3" t="str">
        <f>"Oct 2"</f>
        <v>Oct 2</v>
      </c>
    </row>
    <row r="360" spans="1:19" ht="39" x14ac:dyDescent="0.25">
      <c r="A360" s="1">
        <v>40819</v>
      </c>
      <c r="B360" s="1">
        <v>40819</v>
      </c>
      <c r="C360" s="2">
        <f t="shared" si="8"/>
        <v>1</v>
      </c>
      <c r="D360" s="6" t="s">
        <v>758</v>
      </c>
      <c r="E360" s="3" t="s">
        <v>759</v>
      </c>
      <c r="F360" s="4" t="s">
        <v>58</v>
      </c>
      <c r="G360" s="3" t="s">
        <v>760</v>
      </c>
      <c r="H360" s="3" t="s">
        <v>761</v>
      </c>
      <c r="I360" s="3" t="s">
        <v>448</v>
      </c>
      <c r="J360" s="3" t="s">
        <v>61</v>
      </c>
      <c r="K360" s="3">
        <v>67357</v>
      </c>
      <c r="L360" s="3" t="s">
        <v>762</v>
      </c>
      <c r="M360" s="3"/>
      <c r="N360" s="3"/>
      <c r="O360" s="3"/>
      <c r="P360" s="3" t="s">
        <v>763</v>
      </c>
      <c r="Q360" s="3"/>
      <c r="R360" s="3"/>
      <c r="S360" s="3" t="str">
        <f>"Oct 3"</f>
        <v>Oct 3</v>
      </c>
    </row>
    <row r="361" spans="1:19" ht="39" x14ac:dyDescent="0.25">
      <c r="A361" s="1">
        <v>40819</v>
      </c>
      <c r="B361" s="1">
        <v>40819</v>
      </c>
      <c r="C361" s="2">
        <f t="shared" si="8"/>
        <v>1</v>
      </c>
      <c r="D361" s="6" t="s">
        <v>764</v>
      </c>
      <c r="E361" s="3" t="s">
        <v>765</v>
      </c>
      <c r="F361" s="4" t="s">
        <v>58</v>
      </c>
      <c r="G361" s="3" t="s">
        <v>766</v>
      </c>
      <c r="H361" s="3" t="s">
        <v>767</v>
      </c>
      <c r="I361" s="3" t="s">
        <v>768</v>
      </c>
      <c r="J361" s="3" t="s">
        <v>61</v>
      </c>
      <c r="K361" s="3">
        <v>66846</v>
      </c>
      <c r="L361" s="3" t="s">
        <v>769</v>
      </c>
      <c r="M361" s="3"/>
      <c r="N361" s="3"/>
      <c r="O361" s="3"/>
      <c r="P361" s="3"/>
      <c r="Q361" s="3"/>
      <c r="R361" s="3"/>
      <c r="S361" s="3" t="str">
        <f>"Oct 3"</f>
        <v>Oct 3</v>
      </c>
    </row>
    <row r="362" spans="1:19" ht="39" x14ac:dyDescent="0.25">
      <c r="A362" s="1">
        <v>40820</v>
      </c>
      <c r="B362" s="1">
        <v>40820</v>
      </c>
      <c r="C362" s="2">
        <f t="shared" si="8"/>
        <v>1</v>
      </c>
      <c r="D362" s="6" t="s">
        <v>776</v>
      </c>
      <c r="E362" s="3" t="s">
        <v>3993</v>
      </c>
      <c r="F362" s="4" t="s">
        <v>58</v>
      </c>
      <c r="G362" s="3" t="s">
        <v>777</v>
      </c>
      <c r="H362" s="3" t="s">
        <v>321</v>
      </c>
      <c r="I362" s="3" t="s">
        <v>227</v>
      </c>
      <c r="J362" s="3" t="s">
        <v>61</v>
      </c>
      <c r="K362" s="3">
        <v>67410</v>
      </c>
      <c r="L362" s="3" t="s">
        <v>228</v>
      </c>
      <c r="M362" s="3" t="s">
        <v>229</v>
      </c>
      <c r="N362" s="3"/>
      <c r="O362" s="3" t="s">
        <v>230</v>
      </c>
      <c r="P362" s="3" t="s">
        <v>778</v>
      </c>
      <c r="Q362" s="3" t="s">
        <v>67</v>
      </c>
      <c r="R362" s="3"/>
      <c r="S362" s="3" t="str">
        <f>"Oct 4"</f>
        <v>Oct 4</v>
      </c>
    </row>
    <row r="363" spans="1:19" ht="39" x14ac:dyDescent="0.25">
      <c r="A363" s="1">
        <v>40822</v>
      </c>
      <c r="B363" s="1">
        <v>40822</v>
      </c>
      <c r="C363" s="2">
        <f t="shared" si="8"/>
        <v>1</v>
      </c>
      <c r="D363" s="6" t="s">
        <v>802</v>
      </c>
      <c r="E363" s="3" t="s">
        <v>803</v>
      </c>
      <c r="F363" s="4" t="s">
        <v>58</v>
      </c>
      <c r="G363" s="3" t="s">
        <v>804</v>
      </c>
      <c r="H363" s="3" t="s">
        <v>805</v>
      </c>
      <c r="I363" s="3" t="s">
        <v>806</v>
      </c>
      <c r="J363" s="3" t="s">
        <v>61</v>
      </c>
      <c r="K363" s="3">
        <v>67147</v>
      </c>
      <c r="L363" s="3" t="s">
        <v>807</v>
      </c>
      <c r="M363" s="3"/>
      <c r="N363" s="3"/>
      <c r="O363" s="3"/>
      <c r="P363" s="3" t="s">
        <v>808</v>
      </c>
      <c r="Q363" s="3" t="s">
        <v>67</v>
      </c>
      <c r="R363" s="3" t="s">
        <v>67</v>
      </c>
      <c r="S363" s="3" t="str">
        <f>"Oct 6"</f>
        <v>Oct 6</v>
      </c>
    </row>
    <row r="364" spans="1:19" x14ac:dyDescent="0.25">
      <c r="A364" s="1">
        <v>40822</v>
      </c>
      <c r="B364" s="1">
        <v>40822</v>
      </c>
      <c r="C364" s="2">
        <f t="shared" si="8"/>
        <v>1</v>
      </c>
      <c r="D364" s="6" t="s">
        <v>809</v>
      </c>
      <c r="E364" s="3" t="s">
        <v>809</v>
      </c>
      <c r="F364" s="4" t="s">
        <v>58</v>
      </c>
      <c r="G364" s="3" t="s">
        <v>810</v>
      </c>
      <c r="H364" s="3" t="s">
        <v>811</v>
      </c>
      <c r="I364" s="3" t="s">
        <v>60</v>
      </c>
      <c r="J364" s="3" t="s">
        <v>61</v>
      </c>
      <c r="K364" s="3">
        <v>66612</v>
      </c>
      <c r="L364" s="3" t="s">
        <v>812</v>
      </c>
      <c r="M364" s="3" t="s">
        <v>813</v>
      </c>
      <c r="N364" s="3"/>
      <c r="O364" s="3"/>
      <c r="P364" s="3" t="s">
        <v>814</v>
      </c>
      <c r="Q364" s="3" t="s">
        <v>67</v>
      </c>
      <c r="R364" s="3" t="s">
        <v>67</v>
      </c>
      <c r="S364" s="3" t="str">
        <f>"Oct 6"</f>
        <v>Oct 6</v>
      </c>
    </row>
    <row r="365" spans="1:19" ht="39" x14ac:dyDescent="0.25">
      <c r="A365" s="1">
        <v>40822</v>
      </c>
      <c r="B365" s="1">
        <v>40822</v>
      </c>
      <c r="C365" s="2">
        <f t="shared" si="8"/>
        <v>1</v>
      </c>
      <c r="D365" s="6" t="s">
        <v>815</v>
      </c>
      <c r="E365" s="3" t="s">
        <v>816</v>
      </c>
      <c r="F365" s="4" t="s">
        <v>58</v>
      </c>
      <c r="G365" s="3" t="s">
        <v>817</v>
      </c>
      <c r="H365" s="3"/>
      <c r="I365" s="3" t="s">
        <v>594</v>
      </c>
      <c r="J365" s="3" t="s">
        <v>61</v>
      </c>
      <c r="K365" s="3">
        <v>67114</v>
      </c>
      <c r="L365" s="3" t="s">
        <v>818</v>
      </c>
      <c r="M365" s="3" t="s">
        <v>819</v>
      </c>
      <c r="N365" s="3" t="s">
        <v>820</v>
      </c>
      <c r="O365" s="3" t="s">
        <v>596</v>
      </c>
      <c r="P365" s="3" t="s">
        <v>821</v>
      </c>
      <c r="Q365" s="3" t="s">
        <v>67</v>
      </c>
      <c r="R365" s="3"/>
      <c r="S365" s="3" t="str">
        <f>"Oct 6"</f>
        <v>Oct 6</v>
      </c>
    </row>
    <row r="366" spans="1:19" ht="39" x14ac:dyDescent="0.25">
      <c r="A366" s="1">
        <v>40822</v>
      </c>
      <c r="B366" s="1">
        <v>40822</v>
      </c>
      <c r="C366" s="2">
        <f t="shared" si="8"/>
        <v>1</v>
      </c>
      <c r="D366" s="6" t="s">
        <v>822</v>
      </c>
      <c r="E366" s="3" t="s">
        <v>823</v>
      </c>
      <c r="F366" s="4" t="s">
        <v>58</v>
      </c>
      <c r="G366" s="3" t="s">
        <v>824</v>
      </c>
      <c r="H366" s="3" t="s">
        <v>825</v>
      </c>
      <c r="I366" s="3" t="s">
        <v>71</v>
      </c>
      <c r="J366" s="3" t="s">
        <v>61</v>
      </c>
      <c r="K366" s="3">
        <v>67209</v>
      </c>
      <c r="L366" s="3" t="s">
        <v>826</v>
      </c>
      <c r="M366" s="3"/>
      <c r="N366" s="3"/>
      <c r="O366" s="3"/>
      <c r="P366" s="3" t="s">
        <v>827</v>
      </c>
      <c r="Q366" s="3" t="s">
        <v>67</v>
      </c>
      <c r="R366" s="3" t="s">
        <v>67</v>
      </c>
      <c r="S366" s="3" t="str">
        <f>"Oct 6"</f>
        <v>Oct 6</v>
      </c>
    </row>
    <row r="367" spans="1:19" ht="26.25" x14ac:dyDescent="0.25">
      <c r="A367" s="1">
        <v>40823</v>
      </c>
      <c r="B367" s="1">
        <v>40823</v>
      </c>
      <c r="C367" s="2">
        <f t="shared" si="8"/>
        <v>1</v>
      </c>
      <c r="D367" s="6" t="s">
        <v>835</v>
      </c>
      <c r="E367" s="3" t="s">
        <v>836</v>
      </c>
      <c r="F367" s="4" t="s">
        <v>58</v>
      </c>
      <c r="G367" s="3" t="s">
        <v>837</v>
      </c>
      <c r="H367" s="3"/>
      <c r="I367" s="3" t="s">
        <v>60</v>
      </c>
      <c r="J367" s="3" t="s">
        <v>61</v>
      </c>
      <c r="K367" s="3">
        <v>66603</v>
      </c>
      <c r="L367" s="3" t="s">
        <v>838</v>
      </c>
      <c r="M367" s="3" t="s">
        <v>813</v>
      </c>
      <c r="N367" s="3"/>
      <c r="O367" s="3"/>
      <c r="P367" s="3" t="s">
        <v>839</v>
      </c>
      <c r="Q367" s="3" t="s">
        <v>67</v>
      </c>
      <c r="R367" s="3" t="s">
        <v>67</v>
      </c>
      <c r="S367" s="3" t="str">
        <f>"Oct 7"</f>
        <v>Oct 7</v>
      </c>
    </row>
    <row r="368" spans="1:19" ht="26.25" x14ac:dyDescent="0.25">
      <c r="A368" s="1">
        <v>40823</v>
      </c>
      <c r="B368" s="1">
        <v>40823</v>
      </c>
      <c r="C368" s="2">
        <f t="shared" si="8"/>
        <v>1</v>
      </c>
      <c r="D368" s="6" t="s">
        <v>840</v>
      </c>
      <c r="E368" s="3" t="s">
        <v>841</v>
      </c>
      <c r="F368" s="4" t="s">
        <v>58</v>
      </c>
      <c r="G368" s="3" t="s">
        <v>842</v>
      </c>
      <c r="H368" s="3" t="s">
        <v>843</v>
      </c>
      <c r="I368" s="3" t="s">
        <v>105</v>
      </c>
      <c r="J368" s="3" t="s">
        <v>61</v>
      </c>
      <c r="K368" s="3">
        <v>66044</v>
      </c>
      <c r="L368" s="3" t="s">
        <v>844</v>
      </c>
      <c r="M368" s="3"/>
      <c r="N368" s="3"/>
      <c r="O368" s="3"/>
      <c r="P368" s="3" t="s">
        <v>845</v>
      </c>
      <c r="Q368" s="3" t="s">
        <v>67</v>
      </c>
      <c r="R368" s="3"/>
      <c r="S368" s="3" t="str">
        <f>"Oct 7"</f>
        <v>Oct 7</v>
      </c>
    </row>
    <row r="369" spans="1:19" ht="26.25" x14ac:dyDescent="0.25">
      <c r="A369" s="1">
        <v>40823</v>
      </c>
      <c r="B369" s="1">
        <v>40823</v>
      </c>
      <c r="C369" s="2">
        <f t="shared" si="8"/>
        <v>1</v>
      </c>
      <c r="D369" s="6" t="s">
        <v>846</v>
      </c>
      <c r="E369" s="3" t="s">
        <v>847</v>
      </c>
      <c r="F369" s="4" t="s">
        <v>58</v>
      </c>
      <c r="G369" s="3" t="s">
        <v>848</v>
      </c>
      <c r="H369" s="3"/>
      <c r="I369" s="3" t="s">
        <v>71</v>
      </c>
      <c r="J369" s="3" t="s">
        <v>61</v>
      </c>
      <c r="K369" s="3">
        <v>67203</v>
      </c>
      <c r="L369" s="3" t="s">
        <v>849</v>
      </c>
      <c r="M369" s="3"/>
      <c r="N369" s="3"/>
      <c r="O369" s="3"/>
      <c r="P369" s="3" t="s">
        <v>850</v>
      </c>
      <c r="Q369" s="3" t="s">
        <v>67</v>
      </c>
      <c r="R369" s="3"/>
      <c r="S369" s="3" t="str">
        <f>"Oct 7"</f>
        <v>Oct 7</v>
      </c>
    </row>
    <row r="370" spans="1:19" x14ac:dyDescent="0.25">
      <c r="A370" s="1">
        <v>40823</v>
      </c>
      <c r="B370" s="1">
        <v>40823</v>
      </c>
      <c r="C370" s="2">
        <f t="shared" si="8"/>
        <v>1</v>
      </c>
      <c r="D370" s="6" t="s">
        <v>851</v>
      </c>
      <c r="E370" s="3" t="s">
        <v>851</v>
      </c>
      <c r="F370" s="4" t="s">
        <v>58</v>
      </c>
      <c r="G370" s="3" t="s">
        <v>852</v>
      </c>
      <c r="H370" s="3" t="s">
        <v>853</v>
      </c>
      <c r="I370" s="3" t="s">
        <v>60</v>
      </c>
      <c r="J370" s="3" t="s">
        <v>61</v>
      </c>
      <c r="K370" s="3">
        <v>66614</v>
      </c>
      <c r="L370" s="3" t="s">
        <v>854</v>
      </c>
      <c r="M370" s="3"/>
      <c r="N370" s="3"/>
      <c r="O370" s="3"/>
      <c r="P370" s="3" t="s">
        <v>855</v>
      </c>
      <c r="Q370" s="3" t="s">
        <v>67</v>
      </c>
      <c r="R370" s="3"/>
      <c r="S370" s="3" t="str">
        <f>"Oct 7"</f>
        <v>Oct 7</v>
      </c>
    </row>
    <row r="371" spans="1:19" ht="39" x14ac:dyDescent="0.25">
      <c r="A371" s="1">
        <v>40823</v>
      </c>
      <c r="B371" s="1">
        <v>40823</v>
      </c>
      <c r="C371" s="2">
        <f t="shared" si="8"/>
        <v>1</v>
      </c>
      <c r="D371" s="6" t="s">
        <v>856</v>
      </c>
      <c r="E371" s="3" t="s">
        <v>857</v>
      </c>
      <c r="F371" s="4" t="s">
        <v>58</v>
      </c>
      <c r="G371" s="3" t="s">
        <v>858</v>
      </c>
      <c r="H371" s="3" t="s">
        <v>859</v>
      </c>
      <c r="I371" s="3" t="s">
        <v>34</v>
      </c>
      <c r="J371" s="3" t="s">
        <v>61</v>
      </c>
      <c r="K371" s="3">
        <v>66216</v>
      </c>
      <c r="L371" s="3" t="s">
        <v>860</v>
      </c>
      <c r="M371" s="3"/>
      <c r="N371" s="3"/>
      <c r="O371" s="3"/>
      <c r="P371" s="3"/>
      <c r="Q371" s="3" t="s">
        <v>67</v>
      </c>
      <c r="R371" s="3"/>
      <c r="S371" s="3" t="str">
        <f>"Oct 7"</f>
        <v>Oct 7</v>
      </c>
    </row>
    <row r="372" spans="1:19" ht="26.25" x14ac:dyDescent="0.25">
      <c r="A372" s="1">
        <v>40824</v>
      </c>
      <c r="B372" s="1">
        <v>40824</v>
      </c>
      <c r="C372" s="2">
        <f t="shared" si="8"/>
        <v>1</v>
      </c>
      <c r="D372" s="6" t="s">
        <v>941</v>
      </c>
      <c r="E372" s="3" t="s">
        <v>942</v>
      </c>
      <c r="F372" s="4" t="s">
        <v>58</v>
      </c>
      <c r="G372" s="3" t="s">
        <v>943</v>
      </c>
      <c r="H372" s="3" t="s">
        <v>944</v>
      </c>
      <c r="I372" s="3" t="s">
        <v>227</v>
      </c>
      <c r="J372" s="3" t="s">
        <v>61</v>
      </c>
      <c r="K372" s="3">
        <v>67410</v>
      </c>
      <c r="L372" s="3" t="s">
        <v>657</v>
      </c>
      <c r="M372" s="3" t="s">
        <v>658</v>
      </c>
      <c r="N372" s="3"/>
      <c r="O372" s="3" t="s">
        <v>659</v>
      </c>
      <c r="P372" s="3" t="s">
        <v>660</v>
      </c>
      <c r="Q372" s="3" t="s">
        <v>67</v>
      </c>
      <c r="R372" s="3" t="s">
        <v>67</v>
      </c>
      <c r="S372" s="3" t="str">
        <f t="shared" ref="S372:S394" si="10">"Oct 8"</f>
        <v>Oct 8</v>
      </c>
    </row>
    <row r="373" spans="1:19" ht="26.25" x14ac:dyDescent="0.25">
      <c r="A373" s="1">
        <v>40824</v>
      </c>
      <c r="B373" s="1">
        <v>40824</v>
      </c>
      <c r="C373" s="2">
        <f t="shared" si="8"/>
        <v>1</v>
      </c>
      <c r="D373" s="6" t="s">
        <v>945</v>
      </c>
      <c r="E373" s="3" t="s">
        <v>946</v>
      </c>
      <c r="F373" s="4" t="s">
        <v>58</v>
      </c>
      <c r="G373" s="3" t="s">
        <v>947</v>
      </c>
      <c r="H373" s="3" t="s">
        <v>948</v>
      </c>
      <c r="I373" s="3" t="s">
        <v>315</v>
      </c>
      <c r="J373" s="3" t="s">
        <v>61</v>
      </c>
      <c r="K373" s="3">
        <v>66043</v>
      </c>
      <c r="L373" s="3" t="s">
        <v>949</v>
      </c>
      <c r="M373" s="3"/>
      <c r="N373" s="3" t="s">
        <v>950</v>
      </c>
      <c r="O373" s="3" t="s">
        <v>951</v>
      </c>
      <c r="P373" s="3" t="s">
        <v>317</v>
      </c>
      <c r="Q373" s="3"/>
      <c r="R373" s="3"/>
      <c r="S373" s="3" t="str">
        <f t="shared" si="10"/>
        <v>Oct 8</v>
      </c>
    </row>
    <row r="374" spans="1:19" ht="39" x14ac:dyDescent="0.25">
      <c r="A374" s="1">
        <v>40824</v>
      </c>
      <c r="B374" s="1">
        <v>40824</v>
      </c>
      <c r="C374" s="2">
        <f t="shared" si="8"/>
        <v>1</v>
      </c>
      <c r="D374" s="6" t="s">
        <v>952</v>
      </c>
      <c r="E374" s="3" t="s">
        <v>953</v>
      </c>
      <c r="F374" s="4" t="s">
        <v>58</v>
      </c>
      <c r="G374" s="3" t="s">
        <v>954</v>
      </c>
      <c r="H374" s="3" t="s">
        <v>955</v>
      </c>
      <c r="I374" s="3" t="s">
        <v>956</v>
      </c>
      <c r="J374" s="3" t="s">
        <v>61</v>
      </c>
      <c r="K374" s="3">
        <v>67117</v>
      </c>
      <c r="L374" s="3" t="s">
        <v>957</v>
      </c>
      <c r="M374" s="3"/>
      <c r="N374" s="3"/>
      <c r="O374" s="3" t="s">
        <v>958</v>
      </c>
      <c r="P374" s="3"/>
      <c r="Q374" s="3" t="s">
        <v>67</v>
      </c>
      <c r="R374" s="3" t="s">
        <v>67</v>
      </c>
      <c r="S374" s="3" t="str">
        <f t="shared" si="10"/>
        <v>Oct 8</v>
      </c>
    </row>
    <row r="375" spans="1:19" ht="39" x14ac:dyDescent="0.25">
      <c r="A375" s="1">
        <v>40824</v>
      </c>
      <c r="B375" s="1">
        <v>40824</v>
      </c>
      <c r="C375" s="2">
        <f t="shared" si="8"/>
        <v>1</v>
      </c>
      <c r="D375" s="6" t="s">
        <v>959</v>
      </c>
      <c r="E375" s="3" t="s">
        <v>960</v>
      </c>
      <c r="F375" s="4" t="s">
        <v>58</v>
      </c>
      <c r="G375" s="3" t="s">
        <v>961</v>
      </c>
      <c r="H375" s="3" t="s">
        <v>962</v>
      </c>
      <c r="I375" s="3" t="s">
        <v>963</v>
      </c>
      <c r="J375" s="3" t="s">
        <v>61</v>
      </c>
      <c r="K375" s="3">
        <v>67550</v>
      </c>
      <c r="L375" s="3" t="s">
        <v>964</v>
      </c>
      <c r="M375" s="3"/>
      <c r="N375" s="3"/>
      <c r="O375" s="3" t="s">
        <v>965</v>
      </c>
      <c r="P375" s="3" t="s">
        <v>966</v>
      </c>
      <c r="Q375" s="3" t="s">
        <v>67</v>
      </c>
      <c r="R375" s="3"/>
      <c r="S375" s="3" t="str">
        <f t="shared" si="10"/>
        <v>Oct 8</v>
      </c>
    </row>
    <row r="376" spans="1:19" ht="39" x14ac:dyDescent="0.25">
      <c r="A376" s="1">
        <v>40824</v>
      </c>
      <c r="B376" s="1">
        <v>40824</v>
      </c>
      <c r="C376" s="2">
        <f t="shared" si="8"/>
        <v>1</v>
      </c>
      <c r="D376" s="6" t="s">
        <v>967</v>
      </c>
      <c r="E376" s="3" t="s">
        <v>967</v>
      </c>
      <c r="F376" s="4" t="s">
        <v>58</v>
      </c>
      <c r="G376" s="3" t="s">
        <v>968</v>
      </c>
      <c r="H376" s="3" t="s">
        <v>969</v>
      </c>
      <c r="I376" s="3" t="s">
        <v>60</v>
      </c>
      <c r="J376" s="3" t="s">
        <v>61</v>
      </c>
      <c r="K376" s="3">
        <v>66619</v>
      </c>
      <c r="L376" s="3" t="s">
        <v>970</v>
      </c>
      <c r="M376" s="3"/>
      <c r="N376" s="3"/>
      <c r="O376" s="3" t="s">
        <v>971</v>
      </c>
      <c r="P376" s="3"/>
      <c r="Q376" s="3" t="s">
        <v>67</v>
      </c>
      <c r="R376" s="3"/>
      <c r="S376" s="3" t="str">
        <f t="shared" si="10"/>
        <v>Oct 8</v>
      </c>
    </row>
    <row r="377" spans="1:19" ht="26.25" x14ac:dyDescent="0.25">
      <c r="A377" s="1">
        <v>40824</v>
      </c>
      <c r="B377" s="1">
        <v>40824</v>
      </c>
      <c r="C377" s="2">
        <f t="shared" si="8"/>
        <v>1</v>
      </c>
      <c r="D377" s="6" t="s">
        <v>972</v>
      </c>
      <c r="E377" s="3" t="s">
        <v>973</v>
      </c>
      <c r="F377" s="4" t="s">
        <v>58</v>
      </c>
      <c r="G377" s="3" t="s">
        <v>919</v>
      </c>
      <c r="H377" s="3" t="s">
        <v>974</v>
      </c>
      <c r="I377" s="3" t="s">
        <v>913</v>
      </c>
      <c r="J377" s="3" t="s">
        <v>61</v>
      </c>
      <c r="K377" s="3">
        <v>66725</v>
      </c>
      <c r="L377" s="3" t="s">
        <v>920</v>
      </c>
      <c r="M377" s="3"/>
      <c r="N377" s="3"/>
      <c r="O377" s="3" t="s">
        <v>921</v>
      </c>
      <c r="P377" s="3" t="s">
        <v>922</v>
      </c>
      <c r="Q377" s="3" t="s">
        <v>67</v>
      </c>
      <c r="R377" s="3"/>
      <c r="S377" s="3" t="str">
        <f t="shared" si="10"/>
        <v>Oct 8</v>
      </c>
    </row>
    <row r="378" spans="1:19" ht="26.25" x14ac:dyDescent="0.25">
      <c r="A378" s="1">
        <v>40824</v>
      </c>
      <c r="B378" s="1">
        <v>40824</v>
      </c>
      <c r="C378" s="2">
        <f t="shared" si="8"/>
        <v>1</v>
      </c>
      <c r="D378" s="6" t="s">
        <v>975</v>
      </c>
      <c r="E378" s="3" t="s">
        <v>976</v>
      </c>
      <c r="F378" s="4" t="s">
        <v>58</v>
      </c>
      <c r="G378" s="3" t="s">
        <v>977</v>
      </c>
      <c r="H378" s="3"/>
      <c r="I378" s="3" t="s">
        <v>978</v>
      </c>
      <c r="J378" s="3" t="s">
        <v>61</v>
      </c>
      <c r="K378" s="3">
        <v>67456</v>
      </c>
      <c r="L378" s="3" t="s">
        <v>979</v>
      </c>
      <c r="M378" s="3" t="s">
        <v>980</v>
      </c>
      <c r="N378" s="3"/>
      <c r="O378" s="3" t="s">
        <v>981</v>
      </c>
      <c r="P378" s="3" t="s">
        <v>982</v>
      </c>
      <c r="Q378" s="3" t="s">
        <v>67</v>
      </c>
      <c r="R378" s="3" t="s">
        <v>67</v>
      </c>
      <c r="S378" s="3" t="str">
        <f t="shared" si="10"/>
        <v>Oct 8</v>
      </c>
    </row>
    <row r="379" spans="1:19" ht="39" x14ac:dyDescent="0.25">
      <c r="A379" s="1">
        <v>40824</v>
      </c>
      <c r="B379" s="1">
        <v>40824</v>
      </c>
      <c r="C379" s="2">
        <f t="shared" si="8"/>
        <v>1</v>
      </c>
      <c r="D379" s="6" t="s">
        <v>983</v>
      </c>
      <c r="E379" s="3" t="s">
        <v>984</v>
      </c>
      <c r="F379" s="4" t="s">
        <v>58</v>
      </c>
      <c r="G379" s="3" t="s">
        <v>985</v>
      </c>
      <c r="H379" s="3" t="s">
        <v>974</v>
      </c>
      <c r="I379" s="3" t="s">
        <v>986</v>
      </c>
      <c r="J379" s="3" t="s">
        <v>61</v>
      </c>
      <c r="K379" s="3">
        <v>66436</v>
      </c>
      <c r="L379" s="3" t="s">
        <v>987</v>
      </c>
      <c r="M379" s="3"/>
      <c r="N379" s="3" t="s">
        <v>987</v>
      </c>
      <c r="O379" s="3" t="s">
        <v>988</v>
      </c>
      <c r="P379" s="3"/>
      <c r="Q379" s="3" t="s">
        <v>67</v>
      </c>
      <c r="R379" s="3"/>
      <c r="S379" s="3" t="str">
        <f t="shared" si="10"/>
        <v>Oct 8</v>
      </c>
    </row>
    <row r="380" spans="1:19" ht="26.25" x14ac:dyDescent="0.25">
      <c r="A380" s="1">
        <v>40824</v>
      </c>
      <c r="B380" s="1">
        <v>40824</v>
      </c>
      <c r="C380" s="2">
        <f t="shared" si="8"/>
        <v>1</v>
      </c>
      <c r="D380" s="6" t="s">
        <v>989</v>
      </c>
      <c r="E380" s="3" t="s">
        <v>847</v>
      </c>
      <c r="F380" s="4" t="s">
        <v>58</v>
      </c>
      <c r="G380" s="3" t="s">
        <v>848</v>
      </c>
      <c r="H380" s="3"/>
      <c r="I380" s="3" t="s">
        <v>71</v>
      </c>
      <c r="J380" s="3" t="s">
        <v>61</v>
      </c>
      <c r="K380" s="3">
        <v>67203</v>
      </c>
      <c r="L380" s="3" t="s">
        <v>849</v>
      </c>
      <c r="M380" s="3"/>
      <c r="N380" s="3"/>
      <c r="O380" s="3"/>
      <c r="P380" s="3" t="s">
        <v>850</v>
      </c>
      <c r="Q380" s="3" t="s">
        <v>67</v>
      </c>
      <c r="R380" s="3" t="s">
        <v>67</v>
      </c>
      <c r="S380" s="3" t="str">
        <f t="shared" si="10"/>
        <v>Oct 8</v>
      </c>
    </row>
    <row r="381" spans="1:19" ht="26.25" x14ac:dyDescent="0.25">
      <c r="A381" s="1">
        <v>40824</v>
      </c>
      <c r="B381" s="1">
        <v>40824</v>
      </c>
      <c r="C381" s="2">
        <f t="shared" si="8"/>
        <v>1</v>
      </c>
      <c r="D381" s="6" t="s">
        <v>990</v>
      </c>
      <c r="E381" s="3" t="s">
        <v>991</v>
      </c>
      <c r="F381" s="4" t="s">
        <v>58</v>
      </c>
      <c r="G381" s="3" t="s">
        <v>992</v>
      </c>
      <c r="H381" s="3"/>
      <c r="I381" s="3" t="s">
        <v>993</v>
      </c>
      <c r="J381" s="3" t="s">
        <v>61</v>
      </c>
      <c r="K381" s="3">
        <v>66048</v>
      </c>
      <c r="L381" s="3" t="s">
        <v>994</v>
      </c>
      <c r="M381" s="3"/>
      <c r="N381" s="3"/>
      <c r="O381" s="3" t="s">
        <v>995</v>
      </c>
      <c r="P381" s="3" t="s">
        <v>996</v>
      </c>
      <c r="Q381" s="3" t="s">
        <v>67</v>
      </c>
      <c r="R381" s="3"/>
      <c r="S381" s="3" t="str">
        <f t="shared" si="10"/>
        <v>Oct 8</v>
      </c>
    </row>
    <row r="382" spans="1:19" ht="26.25" x14ac:dyDescent="0.25">
      <c r="A382" s="1">
        <v>40824</v>
      </c>
      <c r="B382" s="1">
        <v>40824</v>
      </c>
      <c r="C382" s="2">
        <f t="shared" si="8"/>
        <v>1</v>
      </c>
      <c r="D382" s="6" t="s">
        <v>617</v>
      </c>
      <c r="E382" s="3" t="s">
        <v>997</v>
      </c>
      <c r="F382" s="4" t="s">
        <v>58</v>
      </c>
      <c r="G382" s="3" t="s">
        <v>619</v>
      </c>
      <c r="H382" s="3" t="s">
        <v>620</v>
      </c>
      <c r="I382" s="3" t="s">
        <v>303</v>
      </c>
      <c r="J382" s="3" t="s">
        <v>61</v>
      </c>
      <c r="K382" s="3">
        <v>66502</v>
      </c>
      <c r="L382" s="3" t="s">
        <v>621</v>
      </c>
      <c r="M382" s="3" t="s">
        <v>622</v>
      </c>
      <c r="N382" s="3"/>
      <c r="O382" s="3" t="s">
        <v>623</v>
      </c>
      <c r="P382" s="3" t="s">
        <v>624</v>
      </c>
      <c r="Q382" s="3" t="s">
        <v>67</v>
      </c>
      <c r="R382" s="3" t="s">
        <v>67</v>
      </c>
      <c r="S382" s="3" t="str">
        <f t="shared" si="10"/>
        <v>Oct 8</v>
      </c>
    </row>
    <row r="383" spans="1:19" ht="39" x14ac:dyDescent="0.25">
      <c r="A383" s="1">
        <v>40824</v>
      </c>
      <c r="B383" s="1">
        <v>40824</v>
      </c>
      <c r="C383" s="2">
        <f t="shared" si="8"/>
        <v>1</v>
      </c>
      <c r="D383" s="6" t="s">
        <v>998</v>
      </c>
      <c r="E383" s="3" t="s">
        <v>999</v>
      </c>
      <c r="F383" s="4" t="s">
        <v>58</v>
      </c>
      <c r="G383" s="3" t="s">
        <v>1000</v>
      </c>
      <c r="H383" s="3"/>
      <c r="I383" s="3" t="s">
        <v>71</v>
      </c>
      <c r="J383" s="3" t="s">
        <v>61</v>
      </c>
      <c r="K383" s="3">
        <v>67202</v>
      </c>
      <c r="L383" s="3" t="s">
        <v>1001</v>
      </c>
      <c r="M383" s="3"/>
      <c r="N383" s="3"/>
      <c r="O383" s="3"/>
      <c r="P383" s="3"/>
      <c r="Q383" s="3" t="s">
        <v>67</v>
      </c>
      <c r="R383" s="3"/>
      <c r="S383" s="3" t="str">
        <f t="shared" si="10"/>
        <v>Oct 8</v>
      </c>
    </row>
    <row r="384" spans="1:19" ht="26.25" x14ac:dyDescent="0.25">
      <c r="A384" s="1">
        <v>40824</v>
      </c>
      <c r="B384" s="1">
        <v>40824</v>
      </c>
      <c r="C384" s="2">
        <f t="shared" si="8"/>
        <v>1</v>
      </c>
      <c r="D384" s="6" t="s">
        <v>1002</v>
      </c>
      <c r="E384" s="3" t="s">
        <v>1003</v>
      </c>
      <c r="F384" s="4" t="s">
        <v>58</v>
      </c>
      <c r="G384" s="3" t="s">
        <v>1004</v>
      </c>
      <c r="H384" s="3" t="s">
        <v>1005</v>
      </c>
      <c r="I384" s="3" t="s">
        <v>1006</v>
      </c>
      <c r="J384" s="3" t="s">
        <v>61</v>
      </c>
      <c r="K384" s="3">
        <v>66514</v>
      </c>
      <c r="L384" s="3" t="s">
        <v>1007</v>
      </c>
      <c r="M384" s="3"/>
      <c r="N384" s="3"/>
      <c r="O384" s="3"/>
      <c r="P384" s="3"/>
      <c r="Q384" s="3" t="s">
        <v>67</v>
      </c>
      <c r="R384" s="3"/>
      <c r="S384" s="3" t="str">
        <f t="shared" si="10"/>
        <v>Oct 8</v>
      </c>
    </row>
    <row r="385" spans="1:19" x14ac:dyDescent="0.25">
      <c r="A385" s="1">
        <v>40824</v>
      </c>
      <c r="B385" s="1">
        <v>40824</v>
      </c>
      <c r="C385" s="2">
        <f t="shared" si="8"/>
        <v>1</v>
      </c>
      <c r="D385" s="6" t="s">
        <v>1008</v>
      </c>
      <c r="E385" s="3" t="s">
        <v>1008</v>
      </c>
      <c r="F385" s="4" t="s">
        <v>58</v>
      </c>
      <c r="G385" s="3" t="s">
        <v>1009</v>
      </c>
      <c r="H385" s="3" t="s">
        <v>1010</v>
      </c>
      <c r="I385" s="3" t="s">
        <v>60</v>
      </c>
      <c r="J385" s="3" t="s">
        <v>61</v>
      </c>
      <c r="K385" s="3">
        <v>66617</v>
      </c>
      <c r="L385" s="3" t="s">
        <v>1011</v>
      </c>
      <c r="M385" s="3"/>
      <c r="N385" s="3"/>
      <c r="O385" s="3"/>
      <c r="P385" s="3"/>
      <c r="Q385" s="3" t="s">
        <v>67</v>
      </c>
      <c r="R385" s="3"/>
      <c r="S385" s="3" t="str">
        <f t="shared" si="10"/>
        <v>Oct 8</v>
      </c>
    </row>
    <row r="386" spans="1:19" ht="26.25" x14ac:dyDescent="0.25">
      <c r="A386" s="1">
        <v>40824</v>
      </c>
      <c r="B386" s="1">
        <v>40824</v>
      </c>
      <c r="C386" s="2">
        <f t="shared" ref="C386:C449" si="11">(B386-A386)+1</f>
        <v>1</v>
      </c>
      <c r="D386" s="6" t="s">
        <v>1012</v>
      </c>
      <c r="E386" s="3" t="s">
        <v>1013</v>
      </c>
      <c r="F386" s="4" t="s">
        <v>58</v>
      </c>
      <c r="G386" s="3" t="s">
        <v>1014</v>
      </c>
      <c r="H386" s="3"/>
      <c r="I386" s="3" t="s">
        <v>1015</v>
      </c>
      <c r="J386" s="3" t="s">
        <v>61</v>
      </c>
      <c r="K386" s="3">
        <v>67022</v>
      </c>
      <c r="L386" s="3" t="s">
        <v>1016</v>
      </c>
      <c r="M386" s="3"/>
      <c r="N386" s="3"/>
      <c r="O386" s="3" t="s">
        <v>1017</v>
      </c>
      <c r="P386" s="3"/>
      <c r="Q386" s="3" t="s">
        <v>67</v>
      </c>
      <c r="R386" s="3"/>
      <c r="S386" s="3" t="str">
        <f t="shared" si="10"/>
        <v>Oct 8</v>
      </c>
    </row>
    <row r="387" spans="1:19" ht="26.25" x14ac:dyDescent="0.25">
      <c r="A387" s="1">
        <v>40824</v>
      </c>
      <c r="B387" s="1">
        <v>40824</v>
      </c>
      <c r="C387" s="2">
        <f t="shared" si="11"/>
        <v>1</v>
      </c>
      <c r="D387" s="6" t="s">
        <v>1018</v>
      </c>
      <c r="E387" s="3" t="s">
        <v>1019</v>
      </c>
      <c r="F387" s="4" t="s">
        <v>58</v>
      </c>
      <c r="G387" s="3" t="s">
        <v>1020</v>
      </c>
      <c r="H387" s="3"/>
      <c r="I387" s="3" t="s">
        <v>1021</v>
      </c>
      <c r="J387" s="3" t="s">
        <v>61</v>
      </c>
      <c r="K387" s="3">
        <v>67901</v>
      </c>
      <c r="L387" s="3" t="s">
        <v>1022</v>
      </c>
      <c r="M387" s="3"/>
      <c r="N387" s="3"/>
      <c r="O387" s="3" t="s">
        <v>1023</v>
      </c>
      <c r="P387" s="3" t="s">
        <v>1024</v>
      </c>
      <c r="Q387" s="3" t="s">
        <v>67</v>
      </c>
      <c r="R387" s="3" t="s">
        <v>67</v>
      </c>
      <c r="S387" s="3" t="str">
        <f t="shared" si="10"/>
        <v>Oct 8</v>
      </c>
    </row>
    <row r="388" spans="1:19" ht="26.25" x14ac:dyDescent="0.25">
      <c r="A388" s="1">
        <v>40824</v>
      </c>
      <c r="B388" s="1">
        <v>40824</v>
      </c>
      <c r="C388" s="2">
        <f t="shared" si="11"/>
        <v>1</v>
      </c>
      <c r="D388" s="6" t="s">
        <v>1025</v>
      </c>
      <c r="E388" s="3" t="s">
        <v>1026</v>
      </c>
      <c r="F388" s="4" t="s">
        <v>58</v>
      </c>
      <c r="G388" s="3" t="s">
        <v>1027</v>
      </c>
      <c r="H388" s="3"/>
      <c r="I388" s="3" t="s">
        <v>1028</v>
      </c>
      <c r="J388" s="3" t="s">
        <v>61</v>
      </c>
      <c r="K388" s="3">
        <v>67625</v>
      </c>
      <c r="L388" s="3" t="s">
        <v>1029</v>
      </c>
      <c r="M388" s="3"/>
      <c r="N388" s="3"/>
      <c r="O388" s="3"/>
      <c r="P388" s="3"/>
      <c r="Q388" s="3" t="s">
        <v>67</v>
      </c>
      <c r="R388" s="3"/>
      <c r="S388" s="3" t="str">
        <f t="shared" si="10"/>
        <v>Oct 8</v>
      </c>
    </row>
    <row r="389" spans="1:19" ht="39" x14ac:dyDescent="0.25">
      <c r="A389" s="1">
        <v>40824</v>
      </c>
      <c r="B389" s="1">
        <v>40824</v>
      </c>
      <c r="C389" s="2">
        <f t="shared" si="11"/>
        <v>1</v>
      </c>
      <c r="D389" s="6" t="s">
        <v>1030</v>
      </c>
      <c r="E389" s="3" t="s">
        <v>1031</v>
      </c>
      <c r="F389" s="4" t="s">
        <v>58</v>
      </c>
      <c r="G389" s="3" t="s">
        <v>284</v>
      </c>
      <c r="H389" s="3"/>
      <c r="I389" s="3" t="s">
        <v>245</v>
      </c>
      <c r="J389" s="3" t="s">
        <v>61</v>
      </c>
      <c r="K389" s="3">
        <v>67401</v>
      </c>
      <c r="L389" s="3" t="s">
        <v>285</v>
      </c>
      <c r="M389" s="3"/>
      <c r="N389" s="3"/>
      <c r="O389" s="3" t="s">
        <v>286</v>
      </c>
      <c r="P389" s="3" t="s">
        <v>287</v>
      </c>
      <c r="Q389" s="3" t="s">
        <v>67</v>
      </c>
      <c r="R389" s="3" t="s">
        <v>67</v>
      </c>
      <c r="S389" s="3" t="str">
        <f t="shared" si="10"/>
        <v>Oct 8</v>
      </c>
    </row>
    <row r="390" spans="1:19" x14ac:dyDescent="0.25">
      <c r="A390" s="1">
        <v>40824</v>
      </c>
      <c r="B390" s="1">
        <v>40824</v>
      </c>
      <c r="C390" s="2">
        <f t="shared" si="11"/>
        <v>1</v>
      </c>
      <c r="D390" s="6" t="s">
        <v>1032</v>
      </c>
      <c r="E390" s="3" t="s">
        <v>1033</v>
      </c>
      <c r="F390" s="4" t="s">
        <v>58</v>
      </c>
      <c r="G390" s="3" t="s">
        <v>1034</v>
      </c>
      <c r="H390" s="3" t="s">
        <v>1035</v>
      </c>
      <c r="I390" s="3" t="s">
        <v>71</v>
      </c>
      <c r="J390" s="3" t="s">
        <v>61</v>
      </c>
      <c r="K390" s="3">
        <v>67202</v>
      </c>
      <c r="L390" s="3" t="s">
        <v>1036</v>
      </c>
      <c r="M390" s="3"/>
      <c r="N390" s="3"/>
      <c r="O390" s="3"/>
      <c r="P390" s="3" t="s">
        <v>1037</v>
      </c>
      <c r="Q390" s="3" t="s">
        <v>67</v>
      </c>
      <c r="R390" s="3" t="s">
        <v>67</v>
      </c>
      <c r="S390" s="3" t="str">
        <f t="shared" si="10"/>
        <v>Oct 8</v>
      </c>
    </row>
    <row r="391" spans="1:19" ht="39" x14ac:dyDescent="0.25">
      <c r="A391" s="1">
        <v>40824</v>
      </c>
      <c r="B391" s="1">
        <v>40824</v>
      </c>
      <c r="C391" s="2">
        <f t="shared" si="11"/>
        <v>1</v>
      </c>
      <c r="D391" s="6" t="s">
        <v>1038</v>
      </c>
      <c r="E391" s="3" t="s">
        <v>1039</v>
      </c>
      <c r="F391" s="4" t="s">
        <v>58</v>
      </c>
      <c r="G391" s="3" t="s">
        <v>1040</v>
      </c>
      <c r="H391" s="3" t="s">
        <v>1041</v>
      </c>
      <c r="I391" s="3" t="s">
        <v>1042</v>
      </c>
      <c r="J391" s="3" t="s">
        <v>61</v>
      </c>
      <c r="K391" s="3">
        <v>67473</v>
      </c>
      <c r="L391" s="3" t="s">
        <v>1043</v>
      </c>
      <c r="M391" s="3"/>
      <c r="N391" s="3"/>
      <c r="O391" s="3" t="s">
        <v>1044</v>
      </c>
      <c r="P391" s="3" t="s">
        <v>1045</v>
      </c>
      <c r="Q391" s="3" t="s">
        <v>67</v>
      </c>
      <c r="R391" s="3"/>
      <c r="S391" s="3" t="str">
        <f t="shared" si="10"/>
        <v>Oct 8</v>
      </c>
    </row>
    <row r="392" spans="1:19" ht="39" x14ac:dyDescent="0.25">
      <c r="A392" s="1">
        <v>40824</v>
      </c>
      <c r="B392" s="1">
        <v>40824</v>
      </c>
      <c r="C392" s="2">
        <f t="shared" si="11"/>
        <v>1</v>
      </c>
      <c r="D392" s="6" t="s">
        <v>1046</v>
      </c>
      <c r="E392" s="3" t="s">
        <v>1047</v>
      </c>
      <c r="F392" s="4" t="s">
        <v>58</v>
      </c>
      <c r="G392" s="3" t="s">
        <v>1048</v>
      </c>
      <c r="H392" s="3"/>
      <c r="I392" s="3" t="s">
        <v>978</v>
      </c>
      <c r="J392" s="3" t="s">
        <v>61</v>
      </c>
      <c r="K392" s="3">
        <v>67456</v>
      </c>
      <c r="L392" s="3" t="s">
        <v>979</v>
      </c>
      <c r="M392" s="3" t="s">
        <v>980</v>
      </c>
      <c r="N392" s="3"/>
      <c r="O392" s="3" t="s">
        <v>981</v>
      </c>
      <c r="P392" s="3" t="s">
        <v>982</v>
      </c>
      <c r="Q392" s="3" t="s">
        <v>67</v>
      </c>
      <c r="R392" s="3"/>
      <c r="S392" s="3" t="str">
        <f t="shared" si="10"/>
        <v>Oct 8</v>
      </c>
    </row>
    <row r="393" spans="1:19" ht="26.25" x14ac:dyDescent="0.25">
      <c r="A393" s="1">
        <v>40824</v>
      </c>
      <c r="B393" s="1">
        <v>40824</v>
      </c>
      <c r="C393" s="2">
        <f t="shared" si="11"/>
        <v>1</v>
      </c>
      <c r="D393" s="6" t="s">
        <v>1049</v>
      </c>
      <c r="E393" s="3" t="s">
        <v>1050</v>
      </c>
      <c r="F393" s="4" t="s">
        <v>58</v>
      </c>
      <c r="G393" s="3" t="s">
        <v>1051</v>
      </c>
      <c r="H393" s="3" t="s">
        <v>1052</v>
      </c>
      <c r="I393" s="3" t="s">
        <v>60</v>
      </c>
      <c r="J393" s="3" t="s">
        <v>61</v>
      </c>
      <c r="K393" s="3">
        <v>66612</v>
      </c>
      <c r="L393" s="3" t="s">
        <v>1053</v>
      </c>
      <c r="M393" s="3"/>
      <c r="N393" s="3"/>
      <c r="O393" s="3"/>
      <c r="P393" s="3" t="s">
        <v>1054</v>
      </c>
      <c r="Q393" s="3" t="s">
        <v>67</v>
      </c>
      <c r="R393" s="3" t="s">
        <v>67</v>
      </c>
      <c r="S393" s="3" t="str">
        <f t="shared" si="10"/>
        <v>Oct 8</v>
      </c>
    </row>
    <row r="394" spans="1:19" ht="51.75" x14ac:dyDescent="0.25">
      <c r="A394" s="1">
        <v>40824</v>
      </c>
      <c r="B394" s="1">
        <v>40824</v>
      </c>
      <c r="C394" s="2">
        <f t="shared" si="11"/>
        <v>1</v>
      </c>
      <c r="D394" s="6" t="s">
        <v>1055</v>
      </c>
      <c r="E394" s="3" t="s">
        <v>1056</v>
      </c>
      <c r="F394" s="4" t="s">
        <v>58</v>
      </c>
      <c r="G394" s="3" t="s">
        <v>1057</v>
      </c>
      <c r="H394" s="3" t="s">
        <v>453</v>
      </c>
      <c r="I394" s="3" t="s">
        <v>1058</v>
      </c>
      <c r="J394" s="3" t="s">
        <v>61</v>
      </c>
      <c r="K394" s="3">
        <v>67152</v>
      </c>
      <c r="L394" s="3" t="s">
        <v>1059</v>
      </c>
      <c r="M394" s="3"/>
      <c r="N394" s="3" t="s">
        <v>1060</v>
      </c>
      <c r="O394" s="3" t="s">
        <v>1061</v>
      </c>
      <c r="P394" s="3" t="s">
        <v>1062</v>
      </c>
      <c r="Q394" s="3" t="s">
        <v>67</v>
      </c>
      <c r="R394" s="3"/>
      <c r="S394" s="3" t="str">
        <f t="shared" si="10"/>
        <v>Oct 8</v>
      </c>
    </row>
    <row r="395" spans="1:19" ht="51.75" x14ac:dyDescent="0.25">
      <c r="A395" s="1">
        <v>40825</v>
      </c>
      <c r="B395" s="1">
        <v>40825</v>
      </c>
      <c r="C395" s="2">
        <f t="shared" si="11"/>
        <v>1</v>
      </c>
      <c r="D395" s="6" t="s">
        <v>1109</v>
      </c>
      <c r="E395" s="3" t="s">
        <v>1110</v>
      </c>
      <c r="F395" s="4" t="s">
        <v>58</v>
      </c>
      <c r="G395" s="3" t="s">
        <v>842</v>
      </c>
      <c r="H395" s="3" t="s">
        <v>843</v>
      </c>
      <c r="I395" s="3" t="s">
        <v>105</v>
      </c>
      <c r="J395" s="3" t="s">
        <v>61</v>
      </c>
      <c r="K395" s="3">
        <v>66044</v>
      </c>
      <c r="L395" s="3" t="s">
        <v>1111</v>
      </c>
      <c r="M395" s="3"/>
      <c r="N395" s="3"/>
      <c r="O395" s="3"/>
      <c r="P395" s="3" t="s">
        <v>1112</v>
      </c>
      <c r="Q395" s="3"/>
      <c r="R395" s="3"/>
      <c r="S395" s="3" t="str">
        <f>"Oct 9"</f>
        <v>Oct 9</v>
      </c>
    </row>
    <row r="396" spans="1:19" ht="39" x14ac:dyDescent="0.25">
      <c r="A396" s="1">
        <v>40825</v>
      </c>
      <c r="B396" s="1">
        <v>40825</v>
      </c>
      <c r="C396" s="2">
        <f t="shared" si="11"/>
        <v>1</v>
      </c>
      <c r="D396" s="6" t="s">
        <v>1113</v>
      </c>
      <c r="E396" s="3" t="s">
        <v>1114</v>
      </c>
      <c r="F396" s="4" t="s">
        <v>58</v>
      </c>
      <c r="G396" s="3" t="s">
        <v>1115</v>
      </c>
      <c r="H396" s="3" t="s">
        <v>1116</v>
      </c>
      <c r="I396" s="3" t="s">
        <v>1117</v>
      </c>
      <c r="J396" s="3" t="s">
        <v>61</v>
      </c>
      <c r="K396" s="3">
        <v>67548</v>
      </c>
      <c r="L396" s="3" t="s">
        <v>1118</v>
      </c>
      <c r="M396" s="3"/>
      <c r="N396" s="3"/>
      <c r="O396" s="3" t="s">
        <v>1119</v>
      </c>
      <c r="P396" s="3" t="s">
        <v>1120</v>
      </c>
      <c r="Q396" s="3" t="s">
        <v>67</v>
      </c>
      <c r="R396" s="3" t="s">
        <v>67</v>
      </c>
      <c r="S396" s="3" t="str">
        <f>"Oct 9"</f>
        <v>Oct 9</v>
      </c>
    </row>
    <row r="397" spans="1:19" ht="26.25" x14ac:dyDescent="0.25">
      <c r="A397" s="1">
        <v>40825</v>
      </c>
      <c r="B397" s="1">
        <v>40825</v>
      </c>
      <c r="C397" s="2">
        <f t="shared" si="11"/>
        <v>1</v>
      </c>
      <c r="D397" s="6" t="s">
        <v>1121</v>
      </c>
      <c r="E397" s="3" t="s">
        <v>1122</v>
      </c>
      <c r="F397" s="4" t="s">
        <v>58</v>
      </c>
      <c r="G397" s="3" t="s">
        <v>1123</v>
      </c>
      <c r="H397" s="3"/>
      <c r="I397" s="3" t="s">
        <v>978</v>
      </c>
      <c r="J397" s="3" t="s">
        <v>61</v>
      </c>
      <c r="K397" s="3">
        <v>67456</v>
      </c>
      <c r="L397" s="3" t="s">
        <v>979</v>
      </c>
      <c r="M397" s="3" t="s">
        <v>980</v>
      </c>
      <c r="N397" s="3"/>
      <c r="O397" s="3" t="s">
        <v>981</v>
      </c>
      <c r="P397" s="3" t="s">
        <v>1124</v>
      </c>
      <c r="Q397" s="3" t="s">
        <v>67</v>
      </c>
      <c r="R397" s="3"/>
      <c r="S397" s="3" t="str">
        <f>"Oct 9"</f>
        <v>Oct 9</v>
      </c>
    </row>
    <row r="398" spans="1:19" ht="26.25" x14ac:dyDescent="0.25">
      <c r="A398" s="1">
        <v>40825</v>
      </c>
      <c r="B398" s="1">
        <v>40825</v>
      </c>
      <c r="C398" s="2">
        <f t="shared" si="11"/>
        <v>1</v>
      </c>
      <c r="D398" s="6" t="s">
        <v>1125</v>
      </c>
      <c r="E398" s="3" t="s">
        <v>1126</v>
      </c>
      <c r="F398" s="4" t="s">
        <v>58</v>
      </c>
      <c r="G398" s="3" t="s">
        <v>1127</v>
      </c>
      <c r="H398" s="3" t="s">
        <v>1128</v>
      </c>
      <c r="I398" s="3" t="s">
        <v>303</v>
      </c>
      <c r="J398" s="3" t="s">
        <v>61</v>
      </c>
      <c r="K398" s="3">
        <v>66502</v>
      </c>
      <c r="L398" s="3" t="s">
        <v>1129</v>
      </c>
      <c r="M398" s="3"/>
      <c r="N398" s="3"/>
      <c r="O398" s="3" t="s">
        <v>1130</v>
      </c>
      <c r="P398" s="3" t="s">
        <v>1131</v>
      </c>
      <c r="Q398" s="3" t="s">
        <v>67</v>
      </c>
      <c r="R398" s="3" t="s">
        <v>67</v>
      </c>
      <c r="S398" s="3" t="str">
        <f>"Oct 9"</f>
        <v>Oct 9</v>
      </c>
    </row>
    <row r="399" spans="1:19" ht="26.25" x14ac:dyDescent="0.25">
      <c r="A399" s="1">
        <v>40825</v>
      </c>
      <c r="B399" s="1">
        <v>40825</v>
      </c>
      <c r="C399" s="2">
        <f t="shared" si="11"/>
        <v>1</v>
      </c>
      <c r="D399" s="6" t="s">
        <v>1132</v>
      </c>
      <c r="E399" s="3" t="s">
        <v>1133</v>
      </c>
      <c r="F399" s="5" t="s">
        <v>58</v>
      </c>
      <c r="G399" s="3" t="s">
        <v>284</v>
      </c>
      <c r="H399" s="3"/>
      <c r="I399" s="3" t="s">
        <v>245</v>
      </c>
      <c r="J399" s="3" t="s">
        <v>61</v>
      </c>
      <c r="K399" s="3">
        <v>67401</v>
      </c>
      <c r="L399" s="3" t="s">
        <v>285</v>
      </c>
      <c r="M399" s="3"/>
      <c r="N399" s="3"/>
      <c r="O399" s="3" t="s">
        <v>1134</v>
      </c>
      <c r="P399" s="3" t="s">
        <v>287</v>
      </c>
      <c r="Q399" s="3" t="s">
        <v>67</v>
      </c>
      <c r="R399" s="3" t="s">
        <v>67</v>
      </c>
      <c r="S399" s="3" t="str">
        <f>"Oct 9"</f>
        <v>Oct 9</v>
      </c>
    </row>
    <row r="400" spans="1:19" ht="26.25" x14ac:dyDescent="0.25">
      <c r="A400" s="1">
        <v>40827</v>
      </c>
      <c r="B400" s="1">
        <v>40827</v>
      </c>
      <c r="C400" s="2">
        <f t="shared" si="11"/>
        <v>1</v>
      </c>
      <c r="D400" s="6" t="s">
        <v>1143</v>
      </c>
      <c r="E400" s="3" t="s">
        <v>1144</v>
      </c>
      <c r="F400" s="4" t="s">
        <v>58</v>
      </c>
      <c r="G400" s="3" t="s">
        <v>1145</v>
      </c>
      <c r="H400" s="3"/>
      <c r="I400" s="3" t="s">
        <v>865</v>
      </c>
      <c r="J400" s="3" t="s">
        <v>61</v>
      </c>
      <c r="K400" s="3">
        <v>67601</v>
      </c>
      <c r="L400" s="3" t="s">
        <v>1146</v>
      </c>
      <c r="M400" s="3"/>
      <c r="N400" s="3"/>
      <c r="O400" s="3" t="s">
        <v>1147</v>
      </c>
      <c r="P400" s="3" t="s">
        <v>1148</v>
      </c>
      <c r="Q400" s="3" t="s">
        <v>67</v>
      </c>
      <c r="R400" s="3" t="s">
        <v>67</v>
      </c>
      <c r="S400" s="3" t="str">
        <f>"Oct 11"</f>
        <v>Oct 11</v>
      </c>
    </row>
    <row r="401" spans="1:19" ht="26.25" x14ac:dyDescent="0.25">
      <c r="A401" s="1">
        <v>40828</v>
      </c>
      <c r="B401" s="1">
        <v>40828</v>
      </c>
      <c r="C401" s="2">
        <f t="shared" si="11"/>
        <v>1</v>
      </c>
      <c r="D401" s="6" t="s">
        <v>1155</v>
      </c>
      <c r="E401" s="3" t="s">
        <v>1156</v>
      </c>
      <c r="F401" s="4" t="s">
        <v>58</v>
      </c>
      <c r="G401" s="3" t="s">
        <v>1157</v>
      </c>
      <c r="H401" s="3"/>
      <c r="I401" s="3" t="s">
        <v>894</v>
      </c>
      <c r="J401" s="3" t="s">
        <v>61</v>
      </c>
      <c r="K401" s="3">
        <v>66901</v>
      </c>
      <c r="L401" s="3" t="s">
        <v>1158</v>
      </c>
      <c r="M401" s="3"/>
      <c r="N401" s="3"/>
      <c r="O401" s="3" t="s">
        <v>1159</v>
      </c>
      <c r="P401" s="3" t="s">
        <v>1160</v>
      </c>
      <c r="Q401" s="3" t="s">
        <v>67</v>
      </c>
      <c r="R401" s="3"/>
      <c r="S401" s="3" t="str">
        <f>"Oct 12"</f>
        <v>Oct 12</v>
      </c>
    </row>
    <row r="402" spans="1:19" ht="26.25" x14ac:dyDescent="0.25">
      <c r="A402" s="1">
        <v>40828</v>
      </c>
      <c r="B402" s="1">
        <v>40828</v>
      </c>
      <c r="C402" s="2">
        <f t="shared" si="11"/>
        <v>1</v>
      </c>
      <c r="D402" s="6" t="s">
        <v>1161</v>
      </c>
      <c r="E402" s="3" t="s">
        <v>1162</v>
      </c>
      <c r="F402" s="4" t="s">
        <v>58</v>
      </c>
      <c r="G402" s="3" t="s">
        <v>1163</v>
      </c>
      <c r="H402" s="3" t="s">
        <v>1164</v>
      </c>
      <c r="I402" s="3" t="s">
        <v>71</v>
      </c>
      <c r="J402" s="3" t="s">
        <v>61</v>
      </c>
      <c r="K402" s="3">
        <v>67202</v>
      </c>
      <c r="L402" s="3" t="s">
        <v>1036</v>
      </c>
      <c r="M402" s="3"/>
      <c r="N402" s="3"/>
      <c r="O402" s="3"/>
      <c r="P402" s="3" t="s">
        <v>1165</v>
      </c>
      <c r="Q402" s="3" t="s">
        <v>67</v>
      </c>
      <c r="R402" s="3" t="s">
        <v>67</v>
      </c>
      <c r="S402" s="3" t="str">
        <f>"Oct 12"</f>
        <v>Oct 12</v>
      </c>
    </row>
    <row r="403" spans="1:19" ht="39" x14ac:dyDescent="0.25">
      <c r="A403" s="1">
        <v>40829</v>
      </c>
      <c r="B403" s="1">
        <v>40829</v>
      </c>
      <c r="C403" s="2">
        <f t="shared" si="11"/>
        <v>1</v>
      </c>
      <c r="D403" s="6" t="s">
        <v>1171</v>
      </c>
      <c r="E403" s="3" t="s">
        <v>759</v>
      </c>
      <c r="F403" s="4" t="s">
        <v>58</v>
      </c>
      <c r="G403" s="3" t="s">
        <v>1172</v>
      </c>
      <c r="H403" s="3" t="s">
        <v>1173</v>
      </c>
      <c r="I403" s="3" t="s">
        <v>1174</v>
      </c>
      <c r="J403" s="3" t="s">
        <v>61</v>
      </c>
      <c r="K403" s="3">
        <v>66227</v>
      </c>
      <c r="L403" s="3" t="s">
        <v>1175</v>
      </c>
      <c r="M403" s="3"/>
      <c r="N403" s="3"/>
      <c r="O403" s="3"/>
      <c r="P403" s="3"/>
      <c r="Q403" s="3"/>
      <c r="R403" s="3"/>
      <c r="S403" s="3" t="str">
        <f>"Oct 13"</f>
        <v>Oct 13</v>
      </c>
    </row>
    <row r="404" spans="1:19" ht="39" x14ac:dyDescent="0.25">
      <c r="A404" s="1">
        <v>40829</v>
      </c>
      <c r="B404" s="1">
        <v>40829</v>
      </c>
      <c r="C404" s="2">
        <f t="shared" si="11"/>
        <v>1</v>
      </c>
      <c r="D404" s="6" t="s">
        <v>1176</v>
      </c>
      <c r="E404" s="3" t="s">
        <v>1177</v>
      </c>
      <c r="F404" s="4" t="s">
        <v>58</v>
      </c>
      <c r="G404" s="3" t="s">
        <v>1178</v>
      </c>
      <c r="H404" s="3" t="s">
        <v>1179</v>
      </c>
      <c r="I404" s="3" t="s">
        <v>865</v>
      </c>
      <c r="J404" s="3" t="s">
        <v>61</v>
      </c>
      <c r="K404" s="3">
        <v>67601</v>
      </c>
      <c r="L404" s="3" t="s">
        <v>1180</v>
      </c>
      <c r="M404" s="3"/>
      <c r="N404" s="3"/>
      <c r="O404" s="3" t="s">
        <v>1181</v>
      </c>
      <c r="P404" s="3" t="s">
        <v>1182</v>
      </c>
      <c r="Q404" s="3"/>
      <c r="R404" s="3"/>
      <c r="S404" s="3" t="str">
        <f>"Oct 13"</f>
        <v>Oct 13</v>
      </c>
    </row>
    <row r="405" spans="1:19" s="34" customFormat="1" ht="39" x14ac:dyDescent="0.25">
      <c r="A405" s="30">
        <v>40830</v>
      </c>
      <c r="B405" s="30">
        <v>40830</v>
      </c>
      <c r="C405" s="31">
        <f t="shared" si="11"/>
        <v>1</v>
      </c>
      <c r="D405" s="32" t="s">
        <v>1195</v>
      </c>
      <c r="E405" s="33" t="s">
        <v>1196</v>
      </c>
      <c r="F405" s="4" t="s">
        <v>58</v>
      </c>
      <c r="G405" s="33" t="s">
        <v>1127</v>
      </c>
      <c r="H405" s="33" t="s">
        <v>1128</v>
      </c>
      <c r="I405" s="33" t="s">
        <v>303</v>
      </c>
      <c r="J405" s="33" t="s">
        <v>61</v>
      </c>
      <c r="K405" s="33">
        <v>66502</v>
      </c>
      <c r="L405" s="33" t="s">
        <v>1129</v>
      </c>
      <c r="M405" s="33"/>
      <c r="N405" s="33"/>
      <c r="O405" s="33" t="s">
        <v>1130</v>
      </c>
      <c r="P405" s="33" t="s">
        <v>1197</v>
      </c>
      <c r="Q405" s="33" t="s">
        <v>67</v>
      </c>
      <c r="R405" s="33" t="s">
        <v>67</v>
      </c>
      <c r="S405" s="33" t="str">
        <f>"Oct 14"</f>
        <v>Oct 14</v>
      </c>
    </row>
    <row r="406" spans="1:19" ht="26.25" x14ac:dyDescent="0.25">
      <c r="A406" s="13">
        <v>40830</v>
      </c>
      <c r="B406" s="13">
        <v>40830</v>
      </c>
      <c r="C406" s="21">
        <f t="shared" si="11"/>
        <v>1</v>
      </c>
      <c r="D406" s="22" t="s">
        <v>1198</v>
      </c>
      <c r="E406" s="9" t="s">
        <v>1199</v>
      </c>
      <c r="F406" s="5" t="s">
        <v>58</v>
      </c>
      <c r="G406" s="9" t="s">
        <v>1200</v>
      </c>
      <c r="H406" s="9" t="s">
        <v>1201</v>
      </c>
      <c r="I406" s="9" t="s">
        <v>455</v>
      </c>
      <c r="J406" s="9" t="s">
        <v>61</v>
      </c>
      <c r="K406" s="9">
        <v>66441</v>
      </c>
      <c r="L406" s="9" t="s">
        <v>1202</v>
      </c>
      <c r="M406" s="9"/>
      <c r="N406" s="9"/>
      <c r="O406" s="9"/>
      <c r="P406" s="9" t="s">
        <v>1203</v>
      </c>
      <c r="Q406" s="9" t="s">
        <v>67</v>
      </c>
      <c r="R406" s="9" t="s">
        <v>67</v>
      </c>
      <c r="S406" s="9" t="str">
        <f>"Oct 14"</f>
        <v>Oct 14</v>
      </c>
    </row>
    <row r="407" spans="1:19" ht="26.25" x14ac:dyDescent="0.25">
      <c r="A407" s="1">
        <v>40830</v>
      </c>
      <c r="B407" s="1">
        <v>40830</v>
      </c>
      <c r="C407" s="2">
        <f t="shared" si="11"/>
        <v>1</v>
      </c>
      <c r="D407" s="6" t="s">
        <v>1204</v>
      </c>
      <c r="E407" s="3" t="s">
        <v>1205</v>
      </c>
      <c r="F407" s="4" t="s">
        <v>58</v>
      </c>
      <c r="G407" s="3" t="s">
        <v>1206</v>
      </c>
      <c r="H407" s="3" t="s">
        <v>1207</v>
      </c>
      <c r="I407" s="3" t="s">
        <v>105</v>
      </c>
      <c r="J407" s="3" t="s">
        <v>61</v>
      </c>
      <c r="K407" s="3">
        <v>66044</v>
      </c>
      <c r="L407" s="3" t="s">
        <v>1208</v>
      </c>
      <c r="M407" s="3"/>
      <c r="N407" s="3"/>
      <c r="O407" s="3"/>
      <c r="P407" s="3"/>
      <c r="Q407" s="3" t="s">
        <v>67</v>
      </c>
      <c r="R407" s="3" t="s">
        <v>67</v>
      </c>
      <c r="S407" s="3" t="str">
        <f>"Oct 14"</f>
        <v>Oct 14</v>
      </c>
    </row>
    <row r="408" spans="1:19" ht="26.25" x14ac:dyDescent="0.25">
      <c r="A408" s="1">
        <v>40831</v>
      </c>
      <c r="B408" s="1">
        <v>40831</v>
      </c>
      <c r="C408" s="2">
        <f t="shared" si="11"/>
        <v>1</v>
      </c>
      <c r="D408" s="6" t="s">
        <v>1237</v>
      </c>
      <c r="E408" s="3" t="s">
        <v>1238</v>
      </c>
      <c r="F408" s="4" t="s">
        <v>58</v>
      </c>
      <c r="G408" s="3" t="s">
        <v>1239</v>
      </c>
      <c r="H408" s="3" t="s">
        <v>1240</v>
      </c>
      <c r="I408" s="3" t="s">
        <v>1241</v>
      </c>
      <c r="J408" s="3" t="s">
        <v>61</v>
      </c>
      <c r="K408" s="3">
        <v>66956</v>
      </c>
      <c r="L408" s="3" t="s">
        <v>1242</v>
      </c>
      <c r="M408" s="3"/>
      <c r="N408" s="3"/>
      <c r="O408" s="3"/>
      <c r="P408" s="3" t="s">
        <v>1243</v>
      </c>
      <c r="Q408" s="3" t="s">
        <v>67</v>
      </c>
      <c r="R408" s="3" t="s">
        <v>67</v>
      </c>
      <c r="S408" s="3" t="str">
        <f t="shared" ref="S408:S421" si="12">"Oct 15"</f>
        <v>Oct 15</v>
      </c>
    </row>
    <row r="409" spans="1:19" ht="39" x14ac:dyDescent="0.25">
      <c r="A409" s="1">
        <v>40831</v>
      </c>
      <c r="B409" s="1">
        <v>40831</v>
      </c>
      <c r="C409" s="2">
        <f t="shared" si="11"/>
        <v>1</v>
      </c>
      <c r="D409" s="6" t="s">
        <v>1244</v>
      </c>
      <c r="E409" s="3" t="s">
        <v>1245</v>
      </c>
      <c r="F409" s="4" t="s">
        <v>58</v>
      </c>
      <c r="G409" s="3" t="s">
        <v>1246</v>
      </c>
      <c r="H409" s="3" t="s">
        <v>215</v>
      </c>
      <c r="I409" s="3" t="s">
        <v>1247</v>
      </c>
      <c r="J409" s="3" t="s">
        <v>61</v>
      </c>
      <c r="K409" s="3">
        <v>66935</v>
      </c>
      <c r="L409" s="3" t="s">
        <v>1248</v>
      </c>
      <c r="M409" s="3" t="s">
        <v>1249</v>
      </c>
      <c r="N409" s="3"/>
      <c r="O409" s="3" t="s">
        <v>1250</v>
      </c>
      <c r="P409" s="3" t="s">
        <v>1251</v>
      </c>
      <c r="Q409" s="3"/>
      <c r="R409" s="3"/>
      <c r="S409" s="3" t="str">
        <f t="shared" si="12"/>
        <v>Oct 15</v>
      </c>
    </row>
    <row r="410" spans="1:19" ht="26.25" x14ac:dyDescent="0.25">
      <c r="A410" s="1">
        <v>40831</v>
      </c>
      <c r="B410" s="1">
        <v>40831</v>
      </c>
      <c r="C410" s="2">
        <f t="shared" si="11"/>
        <v>1</v>
      </c>
      <c r="D410" s="6" t="s">
        <v>1252</v>
      </c>
      <c r="E410" s="3" t="s">
        <v>1253</v>
      </c>
      <c r="F410" s="4" t="s">
        <v>58</v>
      </c>
      <c r="G410" s="3" t="s">
        <v>1254</v>
      </c>
      <c r="H410" s="3" t="s">
        <v>1255</v>
      </c>
      <c r="I410" s="3" t="s">
        <v>1256</v>
      </c>
      <c r="J410" s="3" t="s">
        <v>61</v>
      </c>
      <c r="K410" s="3">
        <v>67361</v>
      </c>
      <c r="L410" s="3" t="s">
        <v>1257</v>
      </c>
      <c r="M410" s="3"/>
      <c r="N410" s="3"/>
      <c r="O410" s="3"/>
      <c r="P410" s="3"/>
      <c r="Q410" s="3"/>
      <c r="R410" s="3"/>
      <c r="S410" s="3" t="str">
        <f t="shared" si="12"/>
        <v>Oct 15</v>
      </c>
    </row>
    <row r="411" spans="1:19" ht="26.25" x14ac:dyDescent="0.25">
      <c r="A411" s="1">
        <v>40831</v>
      </c>
      <c r="B411" s="1">
        <v>40831</v>
      </c>
      <c r="C411" s="2">
        <f t="shared" si="11"/>
        <v>1</v>
      </c>
      <c r="D411" s="6" t="s">
        <v>1258</v>
      </c>
      <c r="E411" s="3" t="s">
        <v>1259</v>
      </c>
      <c r="F411" s="4" t="s">
        <v>58</v>
      </c>
      <c r="G411" s="3" t="s">
        <v>1260</v>
      </c>
      <c r="H411" s="3"/>
      <c r="I411" s="3" t="s">
        <v>1261</v>
      </c>
      <c r="J411" s="3" t="s">
        <v>61</v>
      </c>
      <c r="K411" s="3">
        <v>66219</v>
      </c>
      <c r="L411" s="3" t="s">
        <v>1262</v>
      </c>
      <c r="M411" s="3"/>
      <c r="N411" s="3"/>
      <c r="O411" s="3" t="s">
        <v>1263</v>
      </c>
      <c r="P411" s="3" t="s">
        <v>1264</v>
      </c>
      <c r="Q411" s="3" t="s">
        <v>67</v>
      </c>
      <c r="R411" s="3" t="s">
        <v>67</v>
      </c>
      <c r="S411" s="3" t="str">
        <f t="shared" si="12"/>
        <v>Oct 15</v>
      </c>
    </row>
    <row r="412" spans="1:19" ht="39" x14ac:dyDescent="0.25">
      <c r="A412" s="1">
        <v>40831</v>
      </c>
      <c r="B412" s="1">
        <v>40831</v>
      </c>
      <c r="C412" s="2">
        <f t="shared" si="11"/>
        <v>1</v>
      </c>
      <c r="D412" s="6" t="s">
        <v>1265</v>
      </c>
      <c r="E412" s="3" t="s">
        <v>1266</v>
      </c>
      <c r="F412" s="4" t="s">
        <v>58</v>
      </c>
      <c r="G412" s="3" t="s">
        <v>1267</v>
      </c>
      <c r="H412" s="3" t="s">
        <v>321</v>
      </c>
      <c r="I412" s="3" t="s">
        <v>227</v>
      </c>
      <c r="J412" s="3" t="s">
        <v>61</v>
      </c>
      <c r="K412" s="3">
        <v>67410</v>
      </c>
      <c r="L412" s="3" t="s">
        <v>228</v>
      </c>
      <c r="M412" s="3" t="s">
        <v>229</v>
      </c>
      <c r="N412" s="3"/>
      <c r="O412" s="3" t="s">
        <v>230</v>
      </c>
      <c r="P412" s="3" t="s">
        <v>778</v>
      </c>
      <c r="Q412" s="3" t="s">
        <v>67</v>
      </c>
      <c r="R412" s="3"/>
      <c r="S412" s="3" t="str">
        <f t="shared" si="12"/>
        <v>Oct 15</v>
      </c>
    </row>
    <row r="413" spans="1:19" ht="26.25" x14ac:dyDescent="0.25">
      <c r="A413" s="1">
        <v>40831</v>
      </c>
      <c r="B413" s="1">
        <v>40831</v>
      </c>
      <c r="C413" s="2">
        <f t="shared" si="11"/>
        <v>1</v>
      </c>
      <c r="D413" s="6" t="s">
        <v>1268</v>
      </c>
      <c r="E413" s="3" t="s">
        <v>1268</v>
      </c>
      <c r="F413" s="4" t="s">
        <v>58</v>
      </c>
      <c r="G413" s="3" t="s">
        <v>1269</v>
      </c>
      <c r="H413" s="3" t="s">
        <v>1270</v>
      </c>
      <c r="I413" s="3" t="s">
        <v>60</v>
      </c>
      <c r="J413" s="3" t="s">
        <v>61</v>
      </c>
      <c r="K413" s="3">
        <v>66621</v>
      </c>
      <c r="L413" s="3" t="s">
        <v>1271</v>
      </c>
      <c r="M413" s="3"/>
      <c r="N413" s="3"/>
      <c r="O413" s="3"/>
      <c r="P413" s="3"/>
      <c r="Q413" s="3" t="s">
        <v>67</v>
      </c>
      <c r="R413" s="3" t="s">
        <v>67</v>
      </c>
      <c r="S413" s="3" t="str">
        <f t="shared" si="12"/>
        <v>Oct 15</v>
      </c>
    </row>
    <row r="414" spans="1:19" ht="39" x14ac:dyDescent="0.25">
      <c r="A414" s="1">
        <v>40831</v>
      </c>
      <c r="B414" s="1">
        <v>40831</v>
      </c>
      <c r="C414" s="2">
        <f t="shared" si="11"/>
        <v>1</v>
      </c>
      <c r="D414" s="6" t="s">
        <v>1272</v>
      </c>
      <c r="E414" s="3" t="s">
        <v>1273</v>
      </c>
      <c r="F414" s="8" t="s">
        <v>58</v>
      </c>
      <c r="G414" s="3" t="s">
        <v>1274</v>
      </c>
      <c r="H414" s="3" t="s">
        <v>1275</v>
      </c>
      <c r="I414" s="3" t="s">
        <v>1276</v>
      </c>
      <c r="J414" s="3" t="s">
        <v>61</v>
      </c>
      <c r="K414" s="3">
        <v>67056</v>
      </c>
      <c r="L414" s="3" t="s">
        <v>1277</v>
      </c>
      <c r="M414" s="3"/>
      <c r="N414" s="3" t="s">
        <v>1278</v>
      </c>
      <c r="O414" s="3" t="s">
        <v>1279</v>
      </c>
      <c r="P414" s="3" t="s">
        <v>1280</v>
      </c>
      <c r="Q414" s="3" t="s">
        <v>67</v>
      </c>
      <c r="R414" s="3"/>
      <c r="S414" s="3" t="str">
        <f t="shared" si="12"/>
        <v>Oct 15</v>
      </c>
    </row>
    <row r="415" spans="1:19" ht="26.25" x14ac:dyDescent="0.25">
      <c r="A415" s="1">
        <v>40831</v>
      </c>
      <c r="B415" s="1">
        <v>40831</v>
      </c>
      <c r="C415" s="2">
        <f t="shared" si="11"/>
        <v>1</v>
      </c>
      <c r="D415" s="6" t="s">
        <v>1281</v>
      </c>
      <c r="E415" s="3" t="s">
        <v>1282</v>
      </c>
      <c r="F415" s="5" t="s">
        <v>58</v>
      </c>
      <c r="G415" s="3" t="s">
        <v>1283</v>
      </c>
      <c r="H415" s="3"/>
      <c r="I415" s="3" t="s">
        <v>1284</v>
      </c>
      <c r="J415" s="3" t="s">
        <v>61</v>
      </c>
      <c r="K415" s="3">
        <v>67068</v>
      </c>
      <c r="L415" s="3" t="s">
        <v>1285</v>
      </c>
      <c r="M415" s="3"/>
      <c r="N415" s="3"/>
      <c r="O415" s="3" t="s">
        <v>201</v>
      </c>
      <c r="P415" s="3" t="s">
        <v>202</v>
      </c>
      <c r="Q415" s="3" t="s">
        <v>67</v>
      </c>
      <c r="R415" s="3"/>
      <c r="S415" s="3" t="str">
        <f t="shared" si="12"/>
        <v>Oct 15</v>
      </c>
    </row>
    <row r="416" spans="1:19" x14ac:dyDescent="0.25">
      <c r="A416" s="1">
        <v>40831</v>
      </c>
      <c r="B416" s="1">
        <v>40831</v>
      </c>
      <c r="C416" s="2">
        <f t="shared" si="11"/>
        <v>1</v>
      </c>
      <c r="D416" s="6" t="s">
        <v>1286</v>
      </c>
      <c r="E416" s="3" t="s">
        <v>1287</v>
      </c>
      <c r="F416" s="4" t="s">
        <v>58</v>
      </c>
      <c r="G416" s="3" t="s">
        <v>1288</v>
      </c>
      <c r="H416" s="3" t="s">
        <v>1289</v>
      </c>
      <c r="I416" s="3" t="s">
        <v>105</v>
      </c>
      <c r="J416" s="3" t="s">
        <v>61</v>
      </c>
      <c r="K416" s="3">
        <v>66045</v>
      </c>
      <c r="L416" s="3" t="s">
        <v>1290</v>
      </c>
      <c r="M416" s="3"/>
      <c r="N416" s="3"/>
      <c r="O416" s="3"/>
      <c r="P416" s="3" t="s">
        <v>1291</v>
      </c>
      <c r="Q416" s="3" t="s">
        <v>67</v>
      </c>
      <c r="R416" s="3" t="s">
        <v>67</v>
      </c>
      <c r="S416" s="3" t="str">
        <f t="shared" si="12"/>
        <v>Oct 15</v>
      </c>
    </row>
    <row r="417" spans="1:19" x14ac:dyDescent="0.25">
      <c r="A417" s="1">
        <v>40831</v>
      </c>
      <c r="B417" s="1">
        <v>40831</v>
      </c>
      <c r="C417" s="2">
        <f t="shared" si="11"/>
        <v>1</v>
      </c>
      <c r="D417" s="6" t="s">
        <v>1292</v>
      </c>
      <c r="E417" s="3" t="s">
        <v>1292</v>
      </c>
      <c r="F417" s="4" t="s">
        <v>58</v>
      </c>
      <c r="G417" s="3" t="s">
        <v>297</v>
      </c>
      <c r="H417" s="3"/>
      <c r="I417" s="3" t="s">
        <v>60</v>
      </c>
      <c r="J417" s="3" t="s">
        <v>61</v>
      </c>
      <c r="K417" s="3">
        <v>66606</v>
      </c>
      <c r="L417" s="3" t="s">
        <v>298</v>
      </c>
      <c r="M417" s="3"/>
      <c r="N417" s="3"/>
      <c r="O417" s="3"/>
      <c r="P417" s="3" t="s">
        <v>299</v>
      </c>
      <c r="Q417" s="3" t="s">
        <v>67</v>
      </c>
      <c r="R417" s="3" t="s">
        <v>67</v>
      </c>
      <c r="S417" s="3" t="str">
        <f t="shared" si="12"/>
        <v>Oct 15</v>
      </c>
    </row>
    <row r="418" spans="1:19" ht="26.25" x14ac:dyDescent="0.25">
      <c r="A418" s="1">
        <v>40831</v>
      </c>
      <c r="B418" s="1">
        <v>40831</v>
      </c>
      <c r="C418" s="2">
        <f t="shared" si="11"/>
        <v>1</v>
      </c>
      <c r="D418" s="6" t="s">
        <v>1293</v>
      </c>
      <c r="E418" s="3" t="s">
        <v>1294</v>
      </c>
      <c r="F418" s="4" t="s">
        <v>58</v>
      </c>
      <c r="G418" s="3" t="s">
        <v>1295</v>
      </c>
      <c r="H418" s="3" t="s">
        <v>1296</v>
      </c>
      <c r="I418" s="3" t="s">
        <v>1297</v>
      </c>
      <c r="J418" s="3" t="s">
        <v>61</v>
      </c>
      <c r="K418" s="3">
        <v>67578</v>
      </c>
      <c r="L418" s="3" t="s">
        <v>1298</v>
      </c>
      <c r="M418" s="3"/>
      <c r="N418" s="3"/>
      <c r="O418" s="3" t="s">
        <v>1299</v>
      </c>
      <c r="P418" s="3"/>
      <c r="Q418" s="3"/>
      <c r="R418" s="3"/>
      <c r="S418" s="3" t="str">
        <f t="shared" si="12"/>
        <v>Oct 15</v>
      </c>
    </row>
    <row r="419" spans="1:19" ht="26.25" x14ac:dyDescent="0.25">
      <c r="A419" s="1">
        <v>40831</v>
      </c>
      <c r="B419" s="1">
        <v>40831</v>
      </c>
      <c r="C419" s="2">
        <f t="shared" si="11"/>
        <v>1</v>
      </c>
      <c r="D419" s="6" t="s">
        <v>1012</v>
      </c>
      <c r="E419" s="3" t="s">
        <v>1300</v>
      </c>
      <c r="F419" s="4" t="s">
        <v>58</v>
      </c>
      <c r="G419" s="3" t="s">
        <v>1301</v>
      </c>
      <c r="H419" s="3" t="s">
        <v>1302</v>
      </c>
      <c r="I419" s="3" t="s">
        <v>1303</v>
      </c>
      <c r="J419" s="3" t="s">
        <v>61</v>
      </c>
      <c r="K419" s="3">
        <v>66720</v>
      </c>
      <c r="L419" s="3" t="s">
        <v>1304</v>
      </c>
      <c r="M419" s="3" t="s">
        <v>1305</v>
      </c>
      <c r="N419" s="3" t="s">
        <v>1306</v>
      </c>
      <c r="O419" s="3" t="s">
        <v>1307</v>
      </c>
      <c r="P419" s="3" t="s">
        <v>1308</v>
      </c>
      <c r="Q419" s="3" t="s">
        <v>67</v>
      </c>
      <c r="R419" s="3" t="s">
        <v>67</v>
      </c>
      <c r="S419" s="3" t="str">
        <f t="shared" si="12"/>
        <v>Oct 15</v>
      </c>
    </row>
    <row r="420" spans="1:19" ht="39" x14ac:dyDescent="0.25">
      <c r="A420" s="1">
        <v>40831</v>
      </c>
      <c r="B420" s="1">
        <v>40831</v>
      </c>
      <c r="C420" s="2">
        <f t="shared" si="11"/>
        <v>1</v>
      </c>
      <c r="D420" s="6" t="s">
        <v>1309</v>
      </c>
      <c r="E420" s="3" t="s">
        <v>1310</v>
      </c>
      <c r="F420" s="4" t="s">
        <v>58</v>
      </c>
      <c r="G420" s="3" t="s">
        <v>824</v>
      </c>
      <c r="H420" s="3" t="s">
        <v>825</v>
      </c>
      <c r="I420" s="3" t="s">
        <v>71</v>
      </c>
      <c r="J420" s="3" t="s">
        <v>61</v>
      </c>
      <c r="K420" s="3">
        <v>67209</v>
      </c>
      <c r="L420" s="3" t="s">
        <v>826</v>
      </c>
      <c r="M420" s="3"/>
      <c r="N420" s="3"/>
      <c r="O420" s="3"/>
      <c r="P420" s="3" t="s">
        <v>827</v>
      </c>
      <c r="Q420" s="3" t="s">
        <v>67</v>
      </c>
      <c r="R420" s="3" t="s">
        <v>67</v>
      </c>
      <c r="S420" s="3" t="str">
        <f t="shared" si="12"/>
        <v>Oct 15</v>
      </c>
    </row>
    <row r="421" spans="1:19" ht="39" x14ac:dyDescent="0.25">
      <c r="A421" s="1">
        <v>40831</v>
      </c>
      <c r="B421" s="1">
        <v>40831</v>
      </c>
      <c r="C421" s="2">
        <f t="shared" si="11"/>
        <v>1</v>
      </c>
      <c r="D421" s="6" t="s">
        <v>1311</v>
      </c>
      <c r="E421" s="3" t="s">
        <v>1312</v>
      </c>
      <c r="F421" s="4" t="s">
        <v>58</v>
      </c>
      <c r="G421" s="3" t="s">
        <v>1200</v>
      </c>
      <c r="H421" s="3" t="s">
        <v>1201</v>
      </c>
      <c r="I421" s="3" t="s">
        <v>455</v>
      </c>
      <c r="J421" s="3" t="s">
        <v>61</v>
      </c>
      <c r="K421" s="3">
        <v>66441</v>
      </c>
      <c r="L421" s="3" t="s">
        <v>1202</v>
      </c>
      <c r="M421" s="3"/>
      <c r="N421" s="3"/>
      <c r="O421" s="3"/>
      <c r="P421" s="3" t="s">
        <v>1203</v>
      </c>
      <c r="Q421" s="3" t="s">
        <v>67</v>
      </c>
      <c r="R421" s="3" t="s">
        <v>67</v>
      </c>
      <c r="S421" s="3" t="str">
        <f t="shared" si="12"/>
        <v>Oct 15</v>
      </c>
    </row>
    <row r="422" spans="1:19" ht="26.25" x14ac:dyDescent="0.25">
      <c r="A422" s="1">
        <v>40832</v>
      </c>
      <c r="B422" s="1">
        <v>40832</v>
      </c>
      <c r="C422" s="2">
        <f t="shared" si="11"/>
        <v>1</v>
      </c>
      <c r="D422" s="6" t="s">
        <v>1325</v>
      </c>
      <c r="E422" s="3" t="s">
        <v>1326</v>
      </c>
      <c r="F422" s="4" t="s">
        <v>58</v>
      </c>
      <c r="G422" s="3" t="s">
        <v>1327</v>
      </c>
      <c r="H422" s="3"/>
      <c r="I422" s="3" t="s">
        <v>60</v>
      </c>
      <c r="J422" s="3" t="s">
        <v>61</v>
      </c>
      <c r="K422" s="3">
        <v>66603</v>
      </c>
      <c r="L422" s="3" t="s">
        <v>1328</v>
      </c>
      <c r="M422" s="3"/>
      <c r="N422" s="3"/>
      <c r="O422" s="3"/>
      <c r="P422" s="3" t="s">
        <v>1329</v>
      </c>
      <c r="Q422" s="3" t="s">
        <v>67</v>
      </c>
      <c r="R422" s="3"/>
      <c r="S422" s="3" t="str">
        <f t="shared" ref="S422:S430" si="13">"Oct 16"</f>
        <v>Oct 16</v>
      </c>
    </row>
    <row r="423" spans="1:19" x14ac:dyDescent="0.25">
      <c r="A423" s="1">
        <v>40832</v>
      </c>
      <c r="B423" s="1">
        <v>40832</v>
      </c>
      <c r="C423" s="2">
        <f t="shared" si="11"/>
        <v>1</v>
      </c>
      <c r="D423" s="6" t="s">
        <v>1330</v>
      </c>
      <c r="E423" s="3" t="s">
        <v>1331</v>
      </c>
      <c r="F423" s="4" t="s">
        <v>58</v>
      </c>
      <c r="G423" s="3" t="s">
        <v>479</v>
      </c>
      <c r="H423" s="3" t="s">
        <v>480</v>
      </c>
      <c r="I423" s="3" t="s">
        <v>245</v>
      </c>
      <c r="J423" s="3" t="s">
        <v>61</v>
      </c>
      <c r="K423" s="3">
        <v>67401</v>
      </c>
      <c r="L423" s="3" t="s">
        <v>1332</v>
      </c>
      <c r="M423" s="3"/>
      <c r="N423" s="3"/>
      <c r="O423" s="3"/>
      <c r="P423" s="3"/>
      <c r="Q423" s="3" t="s">
        <v>67</v>
      </c>
      <c r="R423" s="3" t="s">
        <v>67</v>
      </c>
      <c r="S423" s="3" t="str">
        <f t="shared" si="13"/>
        <v>Oct 16</v>
      </c>
    </row>
    <row r="424" spans="1:19" x14ac:dyDescent="0.25">
      <c r="A424" s="1">
        <v>40832</v>
      </c>
      <c r="B424" s="1">
        <v>40832</v>
      </c>
      <c r="C424" s="2">
        <f t="shared" si="11"/>
        <v>1</v>
      </c>
      <c r="D424" s="6" t="s">
        <v>1330</v>
      </c>
      <c r="E424" s="3" t="s">
        <v>1333</v>
      </c>
      <c r="F424" s="4" t="s">
        <v>58</v>
      </c>
      <c r="G424" s="3" t="s">
        <v>479</v>
      </c>
      <c r="H424" s="3" t="s">
        <v>480</v>
      </c>
      <c r="I424" s="3" t="s">
        <v>245</v>
      </c>
      <c r="J424" s="3" t="s">
        <v>61</v>
      </c>
      <c r="K424" s="3">
        <v>67401</v>
      </c>
      <c r="L424" s="3" t="s">
        <v>481</v>
      </c>
      <c r="M424" s="3"/>
      <c r="N424" s="3"/>
      <c r="O424" s="3"/>
      <c r="P424" s="3"/>
      <c r="Q424" s="3" t="s">
        <v>67</v>
      </c>
      <c r="R424" s="3" t="s">
        <v>67</v>
      </c>
      <c r="S424" s="3" t="str">
        <f t="shared" si="13"/>
        <v>Oct 16</v>
      </c>
    </row>
    <row r="425" spans="1:19" ht="26.25" x14ac:dyDescent="0.25">
      <c r="A425" s="1">
        <v>40832</v>
      </c>
      <c r="B425" s="1">
        <v>40832</v>
      </c>
      <c r="C425" s="2">
        <f t="shared" si="11"/>
        <v>1</v>
      </c>
      <c r="D425" s="6" t="s">
        <v>1334</v>
      </c>
      <c r="E425" s="3" t="s">
        <v>1335</v>
      </c>
      <c r="F425" s="4" t="s">
        <v>58</v>
      </c>
      <c r="G425" s="3" t="s">
        <v>1091</v>
      </c>
      <c r="H425" s="3"/>
      <c r="I425" s="3" t="s">
        <v>963</v>
      </c>
      <c r="J425" s="3" t="s">
        <v>61</v>
      </c>
      <c r="K425" s="3">
        <v>67550</v>
      </c>
      <c r="L425" s="3" t="s">
        <v>1093</v>
      </c>
      <c r="M425" s="3"/>
      <c r="N425" s="3"/>
      <c r="O425" s="3" t="s">
        <v>1336</v>
      </c>
      <c r="P425" s="3" t="s">
        <v>1096</v>
      </c>
      <c r="Q425" s="3" t="s">
        <v>67</v>
      </c>
      <c r="R425" s="3"/>
      <c r="S425" s="3" t="str">
        <f t="shared" si="13"/>
        <v>Oct 16</v>
      </c>
    </row>
    <row r="426" spans="1:19" ht="26.25" x14ac:dyDescent="0.25">
      <c r="A426" s="1">
        <v>40832</v>
      </c>
      <c r="B426" s="1">
        <v>40832</v>
      </c>
      <c r="C426" s="2">
        <f t="shared" si="11"/>
        <v>1</v>
      </c>
      <c r="D426" s="6" t="s">
        <v>1337</v>
      </c>
      <c r="E426" s="3" t="s">
        <v>1338</v>
      </c>
      <c r="F426" s="4" t="s">
        <v>58</v>
      </c>
      <c r="G426" s="3" t="s">
        <v>1339</v>
      </c>
      <c r="H426" s="3"/>
      <c r="I426" s="3" t="s">
        <v>303</v>
      </c>
      <c r="J426" s="3" t="s">
        <v>61</v>
      </c>
      <c r="K426" s="3">
        <v>66502</v>
      </c>
      <c r="L426" s="3" t="s">
        <v>1340</v>
      </c>
      <c r="M426" s="3"/>
      <c r="N426" s="3"/>
      <c r="O426" s="3" t="s">
        <v>1341</v>
      </c>
      <c r="P426" s="3" t="s">
        <v>1342</v>
      </c>
      <c r="Q426" s="3"/>
      <c r="R426" s="3" t="s">
        <v>67</v>
      </c>
      <c r="S426" s="3" t="str">
        <f t="shared" si="13"/>
        <v>Oct 16</v>
      </c>
    </row>
    <row r="427" spans="1:19" ht="39" x14ac:dyDescent="0.25">
      <c r="A427" s="1">
        <v>40832</v>
      </c>
      <c r="B427" s="1">
        <v>40832</v>
      </c>
      <c r="C427" s="2">
        <f t="shared" si="11"/>
        <v>1</v>
      </c>
      <c r="D427" s="6" t="s">
        <v>1343</v>
      </c>
      <c r="E427" s="3" t="s">
        <v>3994</v>
      </c>
      <c r="F427" s="4" t="s">
        <v>58</v>
      </c>
      <c r="G427" s="3" t="s">
        <v>537</v>
      </c>
      <c r="H427" s="3" t="s">
        <v>538</v>
      </c>
      <c r="I427" s="3" t="s">
        <v>227</v>
      </c>
      <c r="J427" s="3" t="s">
        <v>61</v>
      </c>
      <c r="K427" s="3">
        <v>67410</v>
      </c>
      <c r="L427" s="3" t="s">
        <v>539</v>
      </c>
      <c r="M427" s="3"/>
      <c r="N427" s="3"/>
      <c r="O427" s="3" t="s">
        <v>1344</v>
      </c>
      <c r="P427" s="3" t="s">
        <v>1345</v>
      </c>
      <c r="Q427" s="3" t="s">
        <v>67</v>
      </c>
      <c r="R427" s="3"/>
      <c r="S427" s="3" t="str">
        <f t="shared" si="13"/>
        <v>Oct 16</v>
      </c>
    </row>
    <row r="428" spans="1:19" ht="26.25" x14ac:dyDescent="0.25">
      <c r="A428" s="1">
        <v>40832</v>
      </c>
      <c r="B428" s="1">
        <v>40832</v>
      </c>
      <c r="C428" s="2">
        <f t="shared" si="11"/>
        <v>1</v>
      </c>
      <c r="D428" s="6" t="s">
        <v>1346</v>
      </c>
      <c r="E428" s="3" t="s">
        <v>1347</v>
      </c>
      <c r="F428" s="4" t="s">
        <v>58</v>
      </c>
      <c r="G428" s="3" t="s">
        <v>1348</v>
      </c>
      <c r="H428" s="3"/>
      <c r="I428" s="3" t="s">
        <v>105</v>
      </c>
      <c r="J428" s="3" t="s">
        <v>61</v>
      </c>
      <c r="K428" s="3">
        <v>66046</v>
      </c>
      <c r="L428" s="3" t="s">
        <v>1349</v>
      </c>
      <c r="M428" s="3"/>
      <c r="N428" s="3"/>
      <c r="O428" s="3"/>
      <c r="P428" s="3" t="s">
        <v>1350</v>
      </c>
      <c r="Q428" s="3" t="s">
        <v>67</v>
      </c>
      <c r="R428" s="3" t="s">
        <v>67</v>
      </c>
      <c r="S428" s="3" t="str">
        <f t="shared" si="13"/>
        <v>Oct 16</v>
      </c>
    </row>
    <row r="429" spans="1:19" ht="39" x14ac:dyDescent="0.25">
      <c r="A429" s="1">
        <v>40832</v>
      </c>
      <c r="B429" s="1">
        <v>40832</v>
      </c>
      <c r="C429" s="2">
        <f t="shared" si="11"/>
        <v>1</v>
      </c>
      <c r="D429" s="6" t="s">
        <v>1351</v>
      </c>
      <c r="E429" s="3" t="s">
        <v>1352</v>
      </c>
      <c r="F429" s="4" t="s">
        <v>58</v>
      </c>
      <c r="G429" s="3" t="s">
        <v>1151</v>
      </c>
      <c r="H429" s="3" t="s">
        <v>1152</v>
      </c>
      <c r="I429" s="3" t="s">
        <v>179</v>
      </c>
      <c r="J429" s="3" t="s">
        <v>61</v>
      </c>
      <c r="K429" s="3">
        <v>66508</v>
      </c>
      <c r="L429" s="3" t="s">
        <v>1353</v>
      </c>
      <c r="M429" s="3"/>
      <c r="N429" s="3"/>
      <c r="O429" s="3"/>
      <c r="P429" s="3"/>
      <c r="Q429" s="3"/>
      <c r="R429" s="3"/>
      <c r="S429" s="3" t="str">
        <f t="shared" si="13"/>
        <v>Oct 16</v>
      </c>
    </row>
    <row r="430" spans="1:19" ht="39" x14ac:dyDescent="0.25">
      <c r="A430" s="1">
        <v>40832</v>
      </c>
      <c r="B430" s="1">
        <v>40832</v>
      </c>
      <c r="C430" s="2">
        <f t="shared" si="11"/>
        <v>1</v>
      </c>
      <c r="D430" s="6" t="s">
        <v>1354</v>
      </c>
      <c r="E430" s="3" t="s">
        <v>1355</v>
      </c>
      <c r="F430" s="4" t="s">
        <v>58</v>
      </c>
      <c r="G430" s="3" t="s">
        <v>1356</v>
      </c>
      <c r="H430" s="3"/>
      <c r="I430" s="3" t="s">
        <v>1357</v>
      </c>
      <c r="J430" s="3" t="s">
        <v>61</v>
      </c>
      <c r="K430" s="3">
        <v>66411</v>
      </c>
      <c r="L430" s="3" t="s">
        <v>1358</v>
      </c>
      <c r="M430" s="3"/>
      <c r="N430" s="3"/>
      <c r="O430" s="3" t="s">
        <v>1359</v>
      </c>
      <c r="P430" s="3"/>
      <c r="Q430" s="3"/>
      <c r="R430" s="3"/>
      <c r="S430" s="3" t="str">
        <f t="shared" si="13"/>
        <v>Oct 16</v>
      </c>
    </row>
    <row r="431" spans="1:19" ht="26.25" x14ac:dyDescent="0.25">
      <c r="A431" s="1">
        <v>40833</v>
      </c>
      <c r="B431" s="1">
        <v>40833</v>
      </c>
      <c r="C431" s="2">
        <f t="shared" si="11"/>
        <v>1</v>
      </c>
      <c r="D431" s="6" t="s">
        <v>1360</v>
      </c>
      <c r="E431" s="3" t="s">
        <v>1361</v>
      </c>
      <c r="F431" s="4" t="s">
        <v>58</v>
      </c>
      <c r="G431" s="3" t="s">
        <v>781</v>
      </c>
      <c r="H431" s="3" t="s">
        <v>782</v>
      </c>
      <c r="I431" s="3" t="s">
        <v>236</v>
      </c>
      <c r="J431" s="3" t="s">
        <v>61</v>
      </c>
      <c r="K431" s="3">
        <v>67005</v>
      </c>
      <c r="L431" s="3" t="s">
        <v>783</v>
      </c>
      <c r="M431" s="3"/>
      <c r="N431" s="3"/>
      <c r="O431" s="3" t="s">
        <v>239</v>
      </c>
      <c r="P431" s="3" t="s">
        <v>784</v>
      </c>
      <c r="Q431" s="3" t="s">
        <v>67</v>
      </c>
      <c r="R431" s="3" t="s">
        <v>67</v>
      </c>
      <c r="S431" s="3" t="str">
        <f>"Oct 17"</f>
        <v>Oct 17</v>
      </c>
    </row>
    <row r="432" spans="1:19" ht="26.25" x14ac:dyDescent="0.25">
      <c r="A432" s="1">
        <v>40835</v>
      </c>
      <c r="B432" s="1">
        <v>40835</v>
      </c>
      <c r="C432" s="2">
        <f t="shared" si="11"/>
        <v>1</v>
      </c>
      <c r="D432" s="6" t="s">
        <v>1369</v>
      </c>
      <c r="E432" s="3" t="s">
        <v>1370</v>
      </c>
      <c r="F432" s="4" t="s">
        <v>58</v>
      </c>
      <c r="G432" s="3" t="s">
        <v>1163</v>
      </c>
      <c r="H432" s="3" t="s">
        <v>1164</v>
      </c>
      <c r="I432" s="3" t="s">
        <v>71</v>
      </c>
      <c r="J432" s="3" t="s">
        <v>61</v>
      </c>
      <c r="K432" s="3">
        <v>67202</v>
      </c>
      <c r="L432" s="3" t="s">
        <v>1036</v>
      </c>
      <c r="M432" s="3"/>
      <c r="N432" s="3"/>
      <c r="O432" s="3"/>
      <c r="P432" s="3" t="s">
        <v>1165</v>
      </c>
      <c r="Q432" s="3" t="s">
        <v>67</v>
      </c>
      <c r="R432" s="3" t="s">
        <v>67</v>
      </c>
      <c r="S432" s="3" t="str">
        <f>"Oct 19"</f>
        <v>Oct 19</v>
      </c>
    </row>
    <row r="433" spans="1:19" ht="26.25" x14ac:dyDescent="0.25">
      <c r="A433" s="1">
        <v>40836</v>
      </c>
      <c r="B433" s="1">
        <v>40836</v>
      </c>
      <c r="C433" s="2">
        <f t="shared" si="11"/>
        <v>1</v>
      </c>
      <c r="D433" s="6" t="s">
        <v>1371</v>
      </c>
      <c r="E433" s="3" t="s">
        <v>1372</v>
      </c>
      <c r="F433" s="4" t="s">
        <v>58</v>
      </c>
      <c r="G433" s="3" t="s">
        <v>837</v>
      </c>
      <c r="H433" s="3"/>
      <c r="I433" s="3" t="s">
        <v>60</v>
      </c>
      <c r="J433" s="3" t="s">
        <v>61</v>
      </c>
      <c r="K433" s="3">
        <v>66603</v>
      </c>
      <c r="L433" s="3" t="s">
        <v>838</v>
      </c>
      <c r="M433" s="3" t="s">
        <v>813</v>
      </c>
      <c r="N433" s="3"/>
      <c r="O433" s="3"/>
      <c r="P433" s="3" t="s">
        <v>839</v>
      </c>
      <c r="Q433" s="3" t="s">
        <v>67</v>
      </c>
      <c r="R433" s="3" t="s">
        <v>67</v>
      </c>
      <c r="S433" s="3" t="str">
        <f>"Oct 20"</f>
        <v>Oct 20</v>
      </c>
    </row>
    <row r="434" spans="1:19" ht="26.25" x14ac:dyDescent="0.25">
      <c r="A434" s="1">
        <v>40836</v>
      </c>
      <c r="B434" s="1">
        <v>40836</v>
      </c>
      <c r="C434" s="2">
        <f t="shared" si="11"/>
        <v>1</v>
      </c>
      <c r="D434" s="6" t="s">
        <v>1373</v>
      </c>
      <c r="E434" s="3" t="s">
        <v>1374</v>
      </c>
      <c r="F434" s="4" t="s">
        <v>58</v>
      </c>
      <c r="G434" s="3" t="s">
        <v>1200</v>
      </c>
      <c r="H434" s="3" t="s">
        <v>1201</v>
      </c>
      <c r="I434" s="3" t="s">
        <v>455</v>
      </c>
      <c r="J434" s="3" t="s">
        <v>61</v>
      </c>
      <c r="K434" s="3">
        <v>66441</v>
      </c>
      <c r="L434" s="3" t="s">
        <v>1202</v>
      </c>
      <c r="M434" s="3"/>
      <c r="N434" s="3"/>
      <c r="O434" s="3"/>
      <c r="P434" s="3" t="s">
        <v>1203</v>
      </c>
      <c r="Q434" s="3" t="s">
        <v>67</v>
      </c>
      <c r="R434" s="3" t="s">
        <v>67</v>
      </c>
      <c r="S434" s="3" t="str">
        <f>"Oct 20"</f>
        <v>Oct 20</v>
      </c>
    </row>
    <row r="435" spans="1:19" ht="39" x14ac:dyDescent="0.25">
      <c r="A435" s="1">
        <v>40837</v>
      </c>
      <c r="B435" s="1">
        <v>40837</v>
      </c>
      <c r="C435" s="2">
        <f t="shared" si="11"/>
        <v>1</v>
      </c>
      <c r="D435" s="6" t="s">
        <v>1379</v>
      </c>
      <c r="E435" s="3" t="s">
        <v>1380</v>
      </c>
      <c r="F435" s="4" t="s">
        <v>58</v>
      </c>
      <c r="G435" s="3" t="s">
        <v>1127</v>
      </c>
      <c r="H435" s="3" t="s">
        <v>1128</v>
      </c>
      <c r="I435" s="3" t="s">
        <v>303</v>
      </c>
      <c r="J435" s="3" t="s">
        <v>61</v>
      </c>
      <c r="K435" s="3">
        <v>66502</v>
      </c>
      <c r="L435" s="3" t="s">
        <v>1129</v>
      </c>
      <c r="M435" s="3"/>
      <c r="N435" s="3"/>
      <c r="O435" s="3" t="s">
        <v>1130</v>
      </c>
      <c r="P435" s="3" t="s">
        <v>1197</v>
      </c>
      <c r="Q435" s="3" t="s">
        <v>67</v>
      </c>
      <c r="R435" s="3" t="s">
        <v>67</v>
      </c>
      <c r="S435" s="3" t="str">
        <f>"Oct 21"</f>
        <v>Oct 21</v>
      </c>
    </row>
    <row r="436" spans="1:19" ht="39" x14ac:dyDescent="0.25">
      <c r="A436" s="1">
        <v>40837</v>
      </c>
      <c r="B436" s="1">
        <v>40837</v>
      </c>
      <c r="C436" s="2">
        <f t="shared" si="11"/>
        <v>1</v>
      </c>
      <c r="D436" s="6" t="s">
        <v>1381</v>
      </c>
      <c r="E436" s="3" t="s">
        <v>1382</v>
      </c>
      <c r="F436" s="4" t="s">
        <v>58</v>
      </c>
      <c r="G436" s="3" t="s">
        <v>1348</v>
      </c>
      <c r="H436" s="3"/>
      <c r="I436" s="3" t="s">
        <v>105</v>
      </c>
      <c r="J436" s="3" t="s">
        <v>61</v>
      </c>
      <c r="K436" s="3">
        <v>66046</v>
      </c>
      <c r="L436" s="3" t="s">
        <v>1349</v>
      </c>
      <c r="M436" s="3"/>
      <c r="N436" s="3"/>
      <c r="O436" s="3"/>
      <c r="P436" s="3" t="s">
        <v>1350</v>
      </c>
      <c r="Q436" s="3" t="s">
        <v>67</v>
      </c>
      <c r="R436" s="3" t="s">
        <v>67</v>
      </c>
      <c r="S436" s="3" t="str">
        <f>"Oct 21"</f>
        <v>Oct 21</v>
      </c>
    </row>
    <row r="437" spans="1:19" ht="26.25" x14ac:dyDescent="0.25">
      <c r="A437" s="1">
        <v>40838</v>
      </c>
      <c r="B437" s="1">
        <v>40838</v>
      </c>
      <c r="C437" s="2">
        <f t="shared" si="11"/>
        <v>1</v>
      </c>
      <c r="D437" s="6" t="s">
        <v>941</v>
      </c>
      <c r="E437" s="3" t="s">
        <v>1427</v>
      </c>
      <c r="F437" s="4" t="s">
        <v>58</v>
      </c>
      <c r="G437" s="3" t="s">
        <v>943</v>
      </c>
      <c r="H437" s="3" t="s">
        <v>944</v>
      </c>
      <c r="I437" s="3" t="s">
        <v>227</v>
      </c>
      <c r="J437" s="3" t="s">
        <v>61</v>
      </c>
      <c r="K437" s="3">
        <v>67410</v>
      </c>
      <c r="L437" s="3" t="s">
        <v>657</v>
      </c>
      <c r="M437" s="3" t="s">
        <v>658</v>
      </c>
      <c r="N437" s="3"/>
      <c r="O437" s="3" t="s">
        <v>659</v>
      </c>
      <c r="P437" s="3" t="s">
        <v>660</v>
      </c>
      <c r="Q437" s="3" t="s">
        <v>67</v>
      </c>
      <c r="R437" s="3" t="s">
        <v>67</v>
      </c>
      <c r="S437" s="3" t="str">
        <f t="shared" ref="S437:S445" si="14">"Oct 22"</f>
        <v>Oct 22</v>
      </c>
    </row>
    <row r="438" spans="1:19" ht="26.25" x14ac:dyDescent="0.25">
      <c r="A438" s="1">
        <v>40838</v>
      </c>
      <c r="B438" s="1">
        <v>40838</v>
      </c>
      <c r="C438" s="2">
        <f t="shared" si="11"/>
        <v>1</v>
      </c>
      <c r="D438" s="6" t="s">
        <v>1428</v>
      </c>
      <c r="E438" s="3" t="s">
        <v>1429</v>
      </c>
      <c r="F438" s="4" t="s">
        <v>58</v>
      </c>
      <c r="G438" s="3" t="s">
        <v>1430</v>
      </c>
      <c r="H438" s="3" t="s">
        <v>1431</v>
      </c>
      <c r="I438" s="3" t="s">
        <v>236</v>
      </c>
      <c r="J438" s="3" t="s">
        <v>61</v>
      </c>
      <c r="K438" s="3">
        <v>67005</v>
      </c>
      <c r="L438" s="3" t="s">
        <v>1432</v>
      </c>
      <c r="M438" s="3"/>
      <c r="N438" s="3"/>
      <c r="O438" s="3" t="s">
        <v>239</v>
      </c>
      <c r="P438" s="3" t="s">
        <v>1433</v>
      </c>
      <c r="Q438" s="3" t="s">
        <v>67</v>
      </c>
      <c r="R438" s="3"/>
      <c r="S438" s="3" t="str">
        <f t="shared" si="14"/>
        <v>Oct 22</v>
      </c>
    </row>
    <row r="439" spans="1:19" ht="26.25" x14ac:dyDescent="0.25">
      <c r="A439" s="1">
        <v>40838</v>
      </c>
      <c r="B439" s="1">
        <v>40838</v>
      </c>
      <c r="C439" s="2">
        <f t="shared" si="11"/>
        <v>1</v>
      </c>
      <c r="D439" s="6" t="s">
        <v>1434</v>
      </c>
      <c r="E439" s="3" t="s">
        <v>1435</v>
      </c>
      <c r="F439" s="4" t="s">
        <v>58</v>
      </c>
      <c r="G439" s="3" t="s">
        <v>1260</v>
      </c>
      <c r="H439" s="3"/>
      <c r="I439" s="3" t="s">
        <v>1261</v>
      </c>
      <c r="J439" s="3" t="s">
        <v>61</v>
      </c>
      <c r="K439" s="3">
        <v>66219</v>
      </c>
      <c r="L439" s="3" t="s">
        <v>1436</v>
      </c>
      <c r="M439" s="3"/>
      <c r="N439" s="3"/>
      <c r="O439" s="3" t="s">
        <v>1437</v>
      </c>
      <c r="P439" s="3" t="s">
        <v>1438</v>
      </c>
      <c r="Q439" s="3" t="s">
        <v>67</v>
      </c>
      <c r="R439" s="3"/>
      <c r="S439" s="3" t="str">
        <f t="shared" si="14"/>
        <v>Oct 22</v>
      </c>
    </row>
    <row r="440" spans="1:19" ht="39" x14ac:dyDescent="0.25">
      <c r="A440" s="1">
        <v>40838</v>
      </c>
      <c r="B440" s="1">
        <v>40838</v>
      </c>
      <c r="C440" s="2">
        <f t="shared" si="11"/>
        <v>1</v>
      </c>
      <c r="D440" s="6" t="s">
        <v>1439</v>
      </c>
      <c r="E440" s="3" t="s">
        <v>1440</v>
      </c>
      <c r="F440" s="4" t="s">
        <v>58</v>
      </c>
      <c r="G440" s="3" t="s">
        <v>1260</v>
      </c>
      <c r="H440" s="3"/>
      <c r="I440" s="3" t="s">
        <v>1261</v>
      </c>
      <c r="J440" s="3" t="s">
        <v>61</v>
      </c>
      <c r="K440" s="3">
        <v>66219</v>
      </c>
      <c r="L440" s="3" t="s">
        <v>1441</v>
      </c>
      <c r="M440" s="3"/>
      <c r="N440" s="3"/>
      <c r="O440" s="3" t="s">
        <v>1437</v>
      </c>
      <c r="P440" s="3" t="s">
        <v>1438</v>
      </c>
      <c r="Q440" s="3" t="s">
        <v>67</v>
      </c>
      <c r="R440" s="3"/>
      <c r="S440" s="3" t="str">
        <f t="shared" si="14"/>
        <v>Oct 22</v>
      </c>
    </row>
    <row r="441" spans="1:19" ht="26.25" x14ac:dyDescent="0.25">
      <c r="A441" s="1">
        <v>40838</v>
      </c>
      <c r="B441" s="1">
        <v>40838</v>
      </c>
      <c r="C441" s="2">
        <f t="shared" si="11"/>
        <v>1</v>
      </c>
      <c r="D441" s="6" t="s">
        <v>1442</v>
      </c>
      <c r="E441" s="3" t="s">
        <v>1443</v>
      </c>
      <c r="F441" s="4" t="s">
        <v>58</v>
      </c>
      <c r="G441" s="3" t="s">
        <v>1444</v>
      </c>
      <c r="H441" s="3" t="s">
        <v>1445</v>
      </c>
      <c r="I441" s="3" t="s">
        <v>1446</v>
      </c>
      <c r="J441" s="3" t="s">
        <v>61</v>
      </c>
      <c r="K441" s="3">
        <v>66071</v>
      </c>
      <c r="L441" s="3" t="s">
        <v>1447</v>
      </c>
      <c r="M441" s="3"/>
      <c r="N441" s="3"/>
      <c r="O441" s="3" t="s">
        <v>1448</v>
      </c>
      <c r="P441" s="3"/>
      <c r="Q441" s="3" t="s">
        <v>67</v>
      </c>
      <c r="R441" s="3"/>
      <c r="S441" s="3" t="str">
        <f t="shared" si="14"/>
        <v>Oct 22</v>
      </c>
    </row>
    <row r="442" spans="1:19" ht="39" x14ac:dyDescent="0.25">
      <c r="A442" s="1">
        <v>40838</v>
      </c>
      <c r="B442" s="1">
        <v>40838</v>
      </c>
      <c r="C442" s="2">
        <f t="shared" si="11"/>
        <v>1</v>
      </c>
      <c r="D442" s="6" t="s">
        <v>1449</v>
      </c>
      <c r="E442" s="3" t="s">
        <v>1450</v>
      </c>
      <c r="F442" s="4" t="s">
        <v>58</v>
      </c>
      <c r="G442" s="3" t="s">
        <v>1451</v>
      </c>
      <c r="H442" s="3"/>
      <c r="I442" s="3" t="s">
        <v>1187</v>
      </c>
      <c r="J442" s="3" t="s">
        <v>61</v>
      </c>
      <c r="K442" s="3">
        <v>66061</v>
      </c>
      <c r="L442" s="3" t="s">
        <v>1452</v>
      </c>
      <c r="M442" s="3"/>
      <c r="N442" s="3"/>
      <c r="O442" s="3" t="s">
        <v>1437</v>
      </c>
      <c r="P442" s="3" t="s">
        <v>1438</v>
      </c>
      <c r="Q442" s="3" t="s">
        <v>67</v>
      </c>
      <c r="R442" s="3" t="s">
        <v>67</v>
      </c>
      <c r="S442" s="3" t="str">
        <f t="shared" si="14"/>
        <v>Oct 22</v>
      </c>
    </row>
    <row r="443" spans="1:19" ht="26.25" x14ac:dyDescent="0.25">
      <c r="A443" s="1">
        <v>40838</v>
      </c>
      <c r="B443" s="1">
        <v>40838</v>
      </c>
      <c r="C443" s="2">
        <f t="shared" si="11"/>
        <v>1</v>
      </c>
      <c r="D443" s="6" t="s">
        <v>1453</v>
      </c>
      <c r="E443" s="3" t="s">
        <v>1287</v>
      </c>
      <c r="F443" s="4" t="s">
        <v>58</v>
      </c>
      <c r="G443" s="3" t="s">
        <v>1288</v>
      </c>
      <c r="H443" s="3" t="s">
        <v>1289</v>
      </c>
      <c r="I443" s="3" t="s">
        <v>105</v>
      </c>
      <c r="J443" s="3" t="s">
        <v>61</v>
      </c>
      <c r="K443" s="3">
        <v>66045</v>
      </c>
      <c r="L443" s="3" t="s">
        <v>1290</v>
      </c>
      <c r="M443" s="3"/>
      <c r="N443" s="3"/>
      <c r="O443" s="3"/>
      <c r="P443" s="3" t="s">
        <v>1291</v>
      </c>
      <c r="Q443" s="3" t="s">
        <v>67</v>
      </c>
      <c r="R443" s="3" t="s">
        <v>67</v>
      </c>
      <c r="S443" s="3" t="str">
        <f t="shared" si="14"/>
        <v>Oct 22</v>
      </c>
    </row>
    <row r="444" spans="1:19" x14ac:dyDescent="0.25">
      <c r="A444" s="1">
        <v>40838</v>
      </c>
      <c r="B444" s="1">
        <v>40838</v>
      </c>
      <c r="C444" s="2">
        <f t="shared" si="11"/>
        <v>1</v>
      </c>
      <c r="D444" s="6" t="s">
        <v>1454</v>
      </c>
      <c r="E444" s="3" t="s">
        <v>1455</v>
      </c>
      <c r="F444" s="4" t="s">
        <v>58</v>
      </c>
      <c r="G444" s="3" t="s">
        <v>737</v>
      </c>
      <c r="H444" s="3" t="s">
        <v>1456</v>
      </c>
      <c r="I444" s="3" t="s">
        <v>60</v>
      </c>
      <c r="J444" s="3" t="s">
        <v>61</v>
      </c>
      <c r="K444" s="3">
        <v>66603</v>
      </c>
      <c r="L444" s="3" t="s">
        <v>739</v>
      </c>
      <c r="M444" s="3"/>
      <c r="N444" s="3"/>
      <c r="O444" s="3" t="s">
        <v>740</v>
      </c>
      <c r="P444" s="3"/>
      <c r="Q444" s="3" t="s">
        <v>67</v>
      </c>
      <c r="R444" s="3" t="s">
        <v>67</v>
      </c>
      <c r="S444" s="3" t="str">
        <f t="shared" si="14"/>
        <v>Oct 22</v>
      </c>
    </row>
    <row r="445" spans="1:19" ht="39" x14ac:dyDescent="0.25">
      <c r="A445" s="1">
        <v>40838</v>
      </c>
      <c r="B445" s="1">
        <v>40838</v>
      </c>
      <c r="C445" s="2">
        <f t="shared" si="11"/>
        <v>1</v>
      </c>
      <c r="D445" s="6" t="s">
        <v>1457</v>
      </c>
      <c r="E445" s="3" t="s">
        <v>1458</v>
      </c>
      <c r="F445" s="4" t="s">
        <v>58</v>
      </c>
      <c r="G445" s="3" t="s">
        <v>1459</v>
      </c>
      <c r="H445" s="3" t="s">
        <v>1460</v>
      </c>
      <c r="I445" s="3" t="s">
        <v>60</v>
      </c>
      <c r="J445" s="3" t="s">
        <v>61</v>
      </c>
      <c r="K445" s="3">
        <v>66603</v>
      </c>
      <c r="L445" s="3" t="s">
        <v>1461</v>
      </c>
      <c r="M445" s="3"/>
      <c r="N445" s="3"/>
      <c r="O445" s="3"/>
      <c r="P445" s="3" t="s">
        <v>1054</v>
      </c>
      <c r="Q445" s="3" t="s">
        <v>67</v>
      </c>
      <c r="R445" s="3" t="s">
        <v>67</v>
      </c>
      <c r="S445" s="3" t="str">
        <f t="shared" si="14"/>
        <v>Oct 22</v>
      </c>
    </row>
    <row r="446" spans="1:19" ht="26.25" x14ac:dyDescent="0.25">
      <c r="A446" s="1">
        <v>40839</v>
      </c>
      <c r="B446" s="1">
        <v>40839</v>
      </c>
      <c r="C446" s="2">
        <f t="shared" si="11"/>
        <v>1</v>
      </c>
      <c r="D446" s="6" t="s">
        <v>1468</v>
      </c>
      <c r="E446" s="3" t="s">
        <v>1469</v>
      </c>
      <c r="F446" s="4" t="s">
        <v>58</v>
      </c>
      <c r="G446" s="3" t="s">
        <v>1470</v>
      </c>
      <c r="H446" s="3" t="s">
        <v>1471</v>
      </c>
      <c r="I446" s="3" t="s">
        <v>1472</v>
      </c>
      <c r="J446" s="3" t="s">
        <v>61</v>
      </c>
      <c r="K446" s="3">
        <v>66442</v>
      </c>
      <c r="L446" s="3" t="s">
        <v>1473</v>
      </c>
      <c r="M446" s="3"/>
      <c r="N446" s="3"/>
      <c r="O446" s="3"/>
      <c r="P446" s="3" t="s">
        <v>1474</v>
      </c>
      <c r="Q446" s="3" t="s">
        <v>67</v>
      </c>
      <c r="R446" s="3"/>
      <c r="S446" s="3" t="str">
        <f>"Oct 23"</f>
        <v>Oct 23</v>
      </c>
    </row>
    <row r="447" spans="1:19" x14ac:dyDescent="0.25">
      <c r="A447" s="1">
        <v>40839</v>
      </c>
      <c r="B447" s="1">
        <v>40839</v>
      </c>
      <c r="C447" s="2">
        <f t="shared" si="11"/>
        <v>1</v>
      </c>
      <c r="D447" s="6" t="s">
        <v>1475</v>
      </c>
      <c r="E447" s="3" t="s">
        <v>1476</v>
      </c>
      <c r="F447" s="4" t="s">
        <v>58</v>
      </c>
      <c r="G447" s="3" t="s">
        <v>1477</v>
      </c>
      <c r="H447" s="3" t="s">
        <v>1478</v>
      </c>
      <c r="I447" s="3" t="s">
        <v>1479</v>
      </c>
      <c r="J447" s="3" t="s">
        <v>61</v>
      </c>
      <c r="K447" s="3">
        <v>66518</v>
      </c>
      <c r="L447" s="3" t="s">
        <v>1480</v>
      </c>
      <c r="M447" s="3"/>
      <c r="N447" s="3"/>
      <c r="O447" s="3"/>
      <c r="P447" s="3"/>
      <c r="Q447" s="3"/>
      <c r="R447" s="3"/>
      <c r="S447" s="3" t="str">
        <f>"Oct 23"</f>
        <v>Oct 23</v>
      </c>
    </row>
    <row r="448" spans="1:19" ht="51.75" x14ac:dyDescent="0.25">
      <c r="A448" s="1">
        <v>40840</v>
      </c>
      <c r="B448" s="1">
        <v>40840</v>
      </c>
      <c r="C448" s="2">
        <f t="shared" si="11"/>
        <v>1</v>
      </c>
      <c r="D448" s="6" t="s">
        <v>1481</v>
      </c>
      <c r="E448" s="3" t="s">
        <v>1482</v>
      </c>
      <c r="F448" s="4" t="s">
        <v>58</v>
      </c>
      <c r="G448" s="3" t="s">
        <v>1483</v>
      </c>
      <c r="H448" s="3" t="s">
        <v>1484</v>
      </c>
      <c r="I448" s="3" t="s">
        <v>193</v>
      </c>
      <c r="J448" s="3" t="s">
        <v>61</v>
      </c>
      <c r="K448" s="3">
        <v>67530</v>
      </c>
      <c r="L448" s="3" t="s">
        <v>1485</v>
      </c>
      <c r="M448" s="3"/>
      <c r="N448" s="3"/>
      <c r="O448" s="3"/>
      <c r="P448" s="3" t="s">
        <v>1486</v>
      </c>
      <c r="Q448" s="3" t="s">
        <v>67</v>
      </c>
      <c r="R448" s="3"/>
      <c r="S448" s="3" t="str">
        <f>"Oct 24"</f>
        <v>Oct 24</v>
      </c>
    </row>
    <row r="449" spans="1:19" ht="39" x14ac:dyDescent="0.25">
      <c r="A449" s="1">
        <v>40841</v>
      </c>
      <c r="B449" s="1">
        <v>40841</v>
      </c>
      <c r="C449" s="2">
        <f t="shared" si="11"/>
        <v>1</v>
      </c>
      <c r="D449" s="6" t="s">
        <v>1487</v>
      </c>
      <c r="E449" s="3" t="s">
        <v>1488</v>
      </c>
      <c r="F449" s="4" t="s">
        <v>58</v>
      </c>
      <c r="G449" s="3" t="s">
        <v>1127</v>
      </c>
      <c r="H449" s="3" t="s">
        <v>1128</v>
      </c>
      <c r="I449" s="3" t="s">
        <v>303</v>
      </c>
      <c r="J449" s="3" t="s">
        <v>61</v>
      </c>
      <c r="K449" s="3">
        <v>66502</v>
      </c>
      <c r="L449" s="3" t="s">
        <v>1129</v>
      </c>
      <c r="M449" s="3"/>
      <c r="N449" s="3"/>
      <c r="O449" s="3" t="s">
        <v>1130</v>
      </c>
      <c r="P449" s="3" t="s">
        <v>1197</v>
      </c>
      <c r="Q449" s="3" t="s">
        <v>67</v>
      </c>
      <c r="R449" s="3" t="s">
        <v>67</v>
      </c>
      <c r="S449" s="3" t="str">
        <f>"Oct 25"</f>
        <v>Oct 25</v>
      </c>
    </row>
    <row r="450" spans="1:19" ht="39" x14ac:dyDescent="0.25">
      <c r="A450" s="1">
        <v>40842</v>
      </c>
      <c r="B450" s="1">
        <v>40842</v>
      </c>
      <c r="C450" s="2">
        <f t="shared" ref="C450:C513" si="15">(B450-A450)+1</f>
        <v>1</v>
      </c>
      <c r="D450" s="6" t="s">
        <v>1493</v>
      </c>
      <c r="E450" s="3" t="s">
        <v>1494</v>
      </c>
      <c r="F450" s="4" t="s">
        <v>58</v>
      </c>
      <c r="G450" s="3" t="s">
        <v>1260</v>
      </c>
      <c r="H450" s="3"/>
      <c r="I450" s="3" t="s">
        <v>1261</v>
      </c>
      <c r="J450" s="3" t="s">
        <v>61</v>
      </c>
      <c r="K450" s="3">
        <v>66219</v>
      </c>
      <c r="L450" s="3" t="s">
        <v>1495</v>
      </c>
      <c r="M450" s="3"/>
      <c r="N450" s="3"/>
      <c r="O450" s="3" t="s">
        <v>1437</v>
      </c>
      <c r="P450" s="3" t="s">
        <v>1438</v>
      </c>
      <c r="Q450" s="3" t="s">
        <v>67</v>
      </c>
      <c r="R450" s="3"/>
      <c r="S450" s="3" t="str">
        <f>"Oct 26"</f>
        <v>Oct 26</v>
      </c>
    </row>
    <row r="451" spans="1:19" ht="26.25" x14ac:dyDescent="0.25">
      <c r="A451" s="1">
        <v>40842</v>
      </c>
      <c r="B451" s="1">
        <v>40842</v>
      </c>
      <c r="C451" s="2">
        <f t="shared" si="15"/>
        <v>1</v>
      </c>
      <c r="D451" s="6" t="s">
        <v>1496</v>
      </c>
      <c r="E451" s="3" t="s">
        <v>1497</v>
      </c>
      <c r="F451" s="4" t="s">
        <v>58</v>
      </c>
      <c r="G451" s="3" t="s">
        <v>1348</v>
      </c>
      <c r="H451" s="3"/>
      <c r="I451" s="3" t="s">
        <v>105</v>
      </c>
      <c r="J451" s="3" t="s">
        <v>61</v>
      </c>
      <c r="K451" s="3">
        <v>66046</v>
      </c>
      <c r="L451" s="3" t="s">
        <v>1349</v>
      </c>
      <c r="M451" s="3"/>
      <c r="N451" s="3"/>
      <c r="O451" s="3"/>
      <c r="P451" s="3" t="s">
        <v>1350</v>
      </c>
      <c r="Q451" s="3" t="s">
        <v>67</v>
      </c>
      <c r="R451" s="3" t="s">
        <v>67</v>
      </c>
      <c r="S451" s="3" t="str">
        <f>"Oct 26"</f>
        <v>Oct 26</v>
      </c>
    </row>
    <row r="452" spans="1:19" ht="39" x14ac:dyDescent="0.25">
      <c r="A452" s="1">
        <v>40842</v>
      </c>
      <c r="B452" s="1">
        <v>40842</v>
      </c>
      <c r="C452" s="2">
        <f t="shared" si="15"/>
        <v>1</v>
      </c>
      <c r="D452" s="6" t="s">
        <v>1498</v>
      </c>
      <c r="E452" s="3" t="s">
        <v>847</v>
      </c>
      <c r="F452" s="4" t="s">
        <v>58</v>
      </c>
      <c r="G452" s="3" t="s">
        <v>1499</v>
      </c>
      <c r="H452" s="3"/>
      <c r="I452" s="3" t="s">
        <v>71</v>
      </c>
      <c r="J452" s="3" t="s">
        <v>61</v>
      </c>
      <c r="K452" s="3">
        <v>67203</v>
      </c>
      <c r="L452" s="3" t="s">
        <v>1500</v>
      </c>
      <c r="M452" s="3"/>
      <c r="N452" s="3"/>
      <c r="O452" s="3"/>
      <c r="P452" s="3" t="s">
        <v>1501</v>
      </c>
      <c r="Q452" s="3" t="s">
        <v>67</v>
      </c>
      <c r="R452" s="3"/>
      <c r="S452" s="3" t="str">
        <f>"Oct 26"</f>
        <v>Oct 26</v>
      </c>
    </row>
    <row r="453" spans="1:19" ht="39" x14ac:dyDescent="0.25">
      <c r="A453" s="1">
        <v>40843</v>
      </c>
      <c r="B453" s="1">
        <v>40843</v>
      </c>
      <c r="C453" s="2">
        <f t="shared" si="15"/>
        <v>1</v>
      </c>
      <c r="D453" s="6" t="s">
        <v>1502</v>
      </c>
      <c r="E453" s="3" t="s">
        <v>1503</v>
      </c>
      <c r="F453" s="4" t="s">
        <v>58</v>
      </c>
      <c r="G453" s="3" t="s">
        <v>1504</v>
      </c>
      <c r="H453" s="3" t="s">
        <v>1505</v>
      </c>
      <c r="I453" s="3" t="s">
        <v>455</v>
      </c>
      <c r="J453" s="3" t="s">
        <v>61</v>
      </c>
      <c r="K453" s="3">
        <v>66441</v>
      </c>
      <c r="L453" s="3" t="s">
        <v>1506</v>
      </c>
      <c r="M453" s="3"/>
      <c r="N453" s="3"/>
      <c r="O453" s="3"/>
      <c r="P453" s="3" t="s">
        <v>1507</v>
      </c>
      <c r="Q453" s="3" t="s">
        <v>67</v>
      </c>
      <c r="R453" s="3"/>
      <c r="S453" s="3" t="str">
        <f>"Oct 27"</f>
        <v>Oct 27</v>
      </c>
    </row>
    <row r="454" spans="1:19" ht="39" x14ac:dyDescent="0.25">
      <c r="A454" s="1">
        <v>40843</v>
      </c>
      <c r="B454" s="1">
        <v>40843</v>
      </c>
      <c r="C454" s="2">
        <f t="shared" si="15"/>
        <v>1</v>
      </c>
      <c r="D454" s="6" t="s">
        <v>1508</v>
      </c>
      <c r="E454" s="3" t="s">
        <v>1509</v>
      </c>
      <c r="F454" s="4" t="s">
        <v>58</v>
      </c>
      <c r="G454" s="3" t="s">
        <v>1510</v>
      </c>
      <c r="H454" s="3" t="s">
        <v>1511</v>
      </c>
      <c r="I454" s="3" t="s">
        <v>105</v>
      </c>
      <c r="J454" s="3" t="s">
        <v>61</v>
      </c>
      <c r="K454" s="3">
        <v>66044</v>
      </c>
      <c r="L454" s="3" t="s">
        <v>1512</v>
      </c>
      <c r="M454" s="3"/>
      <c r="N454" s="3"/>
      <c r="O454" s="3"/>
      <c r="P454" s="3" t="s">
        <v>1513</v>
      </c>
      <c r="Q454" s="3" t="s">
        <v>67</v>
      </c>
      <c r="R454" s="3"/>
      <c r="S454" s="3" t="str">
        <f>"Oct 27"</f>
        <v>Oct 27</v>
      </c>
    </row>
    <row r="455" spans="1:19" ht="26.25" x14ac:dyDescent="0.25">
      <c r="A455" s="1">
        <v>40843</v>
      </c>
      <c r="B455" s="1">
        <v>40843</v>
      </c>
      <c r="C455" s="2">
        <f t="shared" si="15"/>
        <v>1</v>
      </c>
      <c r="D455" s="6" t="s">
        <v>1514</v>
      </c>
      <c r="E455" s="3" t="s">
        <v>1515</v>
      </c>
      <c r="F455" s="4" t="s">
        <v>58</v>
      </c>
      <c r="G455" s="3" t="s">
        <v>529</v>
      </c>
      <c r="H455" s="3"/>
      <c r="I455" s="3" t="s">
        <v>530</v>
      </c>
      <c r="J455" s="3" t="s">
        <v>61</v>
      </c>
      <c r="K455" s="3">
        <v>67460</v>
      </c>
      <c r="L455" s="3" t="s">
        <v>531</v>
      </c>
      <c r="M455" s="3"/>
      <c r="N455" s="3" t="s">
        <v>532</v>
      </c>
      <c r="O455" s="3" t="s">
        <v>533</v>
      </c>
      <c r="P455" s="3" t="s">
        <v>1516</v>
      </c>
      <c r="Q455" s="3" t="s">
        <v>67</v>
      </c>
      <c r="R455" s="3"/>
      <c r="S455" s="3" t="str">
        <f>"Oct 27"</f>
        <v>Oct 27</v>
      </c>
    </row>
    <row r="456" spans="1:19" ht="26.25" x14ac:dyDescent="0.25">
      <c r="A456" s="1">
        <v>40844</v>
      </c>
      <c r="B456" s="1">
        <v>40844</v>
      </c>
      <c r="C456" s="2">
        <f t="shared" si="15"/>
        <v>1</v>
      </c>
      <c r="D456" s="6" t="s">
        <v>1527</v>
      </c>
      <c r="E456" s="3" t="s">
        <v>1528</v>
      </c>
      <c r="F456" s="4" t="s">
        <v>58</v>
      </c>
      <c r="G456" s="3" t="s">
        <v>1529</v>
      </c>
      <c r="H456" s="3" t="s">
        <v>1530</v>
      </c>
      <c r="I456" s="3" t="s">
        <v>245</v>
      </c>
      <c r="J456" s="3" t="s">
        <v>61</v>
      </c>
      <c r="K456" s="3">
        <v>67401</v>
      </c>
      <c r="L456" s="3" t="s">
        <v>1531</v>
      </c>
      <c r="M456" s="3"/>
      <c r="N456" s="3"/>
      <c r="O456" s="3" t="s">
        <v>1532</v>
      </c>
      <c r="P456" s="3" t="s">
        <v>1533</v>
      </c>
      <c r="Q456" s="3" t="s">
        <v>67</v>
      </c>
      <c r="R456" s="3"/>
      <c r="S456" s="3" t="str">
        <f t="shared" ref="S456:S465" si="16">"Oct 28"</f>
        <v>Oct 28</v>
      </c>
    </row>
    <row r="457" spans="1:19" ht="39" x14ac:dyDescent="0.25">
      <c r="A457" s="1">
        <v>40844</v>
      </c>
      <c r="B457" s="1">
        <v>40844</v>
      </c>
      <c r="C457" s="2">
        <f t="shared" si="15"/>
        <v>1</v>
      </c>
      <c r="D457" s="6" t="s">
        <v>1534</v>
      </c>
      <c r="E457" s="3" t="s">
        <v>1535</v>
      </c>
      <c r="F457" s="4" t="s">
        <v>58</v>
      </c>
      <c r="G457" s="3" t="s">
        <v>1536</v>
      </c>
      <c r="H457" s="3" t="s">
        <v>1537</v>
      </c>
      <c r="I457" s="3" t="s">
        <v>179</v>
      </c>
      <c r="J457" s="3" t="s">
        <v>61</v>
      </c>
      <c r="K457" s="3">
        <v>66508</v>
      </c>
      <c r="L457" s="3" t="s">
        <v>1079</v>
      </c>
      <c r="M457" s="3" t="s">
        <v>1538</v>
      </c>
      <c r="N457" s="3" t="s">
        <v>1079</v>
      </c>
      <c r="O457" s="3" t="s">
        <v>1080</v>
      </c>
      <c r="P457" s="3" t="s">
        <v>1539</v>
      </c>
      <c r="Q457" s="3" t="s">
        <v>67</v>
      </c>
      <c r="R457" s="3"/>
      <c r="S457" s="3" t="str">
        <f t="shared" si="16"/>
        <v>Oct 28</v>
      </c>
    </row>
    <row r="458" spans="1:19" ht="26.25" x14ac:dyDescent="0.25">
      <c r="A458" s="1">
        <v>40844</v>
      </c>
      <c r="B458" s="1">
        <v>40844</v>
      </c>
      <c r="C458" s="2">
        <f t="shared" si="15"/>
        <v>1</v>
      </c>
      <c r="D458" s="6" t="s">
        <v>840</v>
      </c>
      <c r="E458" s="3" t="s">
        <v>841</v>
      </c>
      <c r="F458" s="4" t="s">
        <v>58</v>
      </c>
      <c r="G458" s="3" t="s">
        <v>842</v>
      </c>
      <c r="H458" s="3" t="s">
        <v>843</v>
      </c>
      <c r="I458" s="3" t="s">
        <v>105</v>
      </c>
      <c r="J458" s="3" t="s">
        <v>61</v>
      </c>
      <c r="K458" s="3">
        <v>66044</v>
      </c>
      <c r="L458" s="3" t="s">
        <v>844</v>
      </c>
      <c r="M458" s="3"/>
      <c r="N458" s="3"/>
      <c r="O458" s="3"/>
      <c r="P458" s="3"/>
      <c r="Q458" s="3" t="s">
        <v>67</v>
      </c>
      <c r="R458" s="3"/>
      <c r="S458" s="3" t="str">
        <f t="shared" si="16"/>
        <v>Oct 28</v>
      </c>
    </row>
    <row r="459" spans="1:19" ht="26.25" x14ac:dyDescent="0.25">
      <c r="A459" s="1">
        <v>40844</v>
      </c>
      <c r="B459" s="1">
        <v>40844</v>
      </c>
      <c r="C459" s="2">
        <f t="shared" si="15"/>
        <v>1</v>
      </c>
      <c r="D459" s="6" t="s">
        <v>1540</v>
      </c>
      <c r="E459" s="3" t="s">
        <v>1541</v>
      </c>
      <c r="F459" s="4" t="s">
        <v>58</v>
      </c>
      <c r="G459" s="3" t="s">
        <v>1542</v>
      </c>
      <c r="H459" s="3" t="s">
        <v>1543</v>
      </c>
      <c r="I459" s="3" t="s">
        <v>60</v>
      </c>
      <c r="J459" s="3" t="s">
        <v>61</v>
      </c>
      <c r="K459" s="3">
        <v>66605</v>
      </c>
      <c r="L459" s="3" t="s">
        <v>1544</v>
      </c>
      <c r="M459" s="3"/>
      <c r="N459" s="3"/>
      <c r="O459" s="3"/>
      <c r="P459" s="3" t="s">
        <v>1545</v>
      </c>
      <c r="Q459" s="3" t="s">
        <v>67</v>
      </c>
      <c r="R459" s="3" t="s">
        <v>67</v>
      </c>
      <c r="S459" s="3" t="str">
        <f t="shared" si="16"/>
        <v>Oct 28</v>
      </c>
    </row>
    <row r="460" spans="1:19" ht="51.75" x14ac:dyDescent="0.25">
      <c r="A460" s="1">
        <v>40844</v>
      </c>
      <c r="B460" s="1">
        <v>40844</v>
      </c>
      <c r="C460" s="2">
        <f t="shared" si="15"/>
        <v>1</v>
      </c>
      <c r="D460" s="6" t="s">
        <v>1546</v>
      </c>
      <c r="E460" s="3" t="s">
        <v>1547</v>
      </c>
      <c r="F460" s="4" t="s">
        <v>58</v>
      </c>
      <c r="G460" s="3" t="s">
        <v>1348</v>
      </c>
      <c r="H460" s="3"/>
      <c r="I460" s="3" t="s">
        <v>105</v>
      </c>
      <c r="J460" s="3" t="s">
        <v>61</v>
      </c>
      <c r="K460" s="3">
        <v>66046</v>
      </c>
      <c r="L460" s="3" t="s">
        <v>1349</v>
      </c>
      <c r="M460" s="3"/>
      <c r="N460" s="3"/>
      <c r="O460" s="3"/>
      <c r="P460" s="3"/>
      <c r="Q460" s="3" t="s">
        <v>67</v>
      </c>
      <c r="R460" s="3" t="s">
        <v>67</v>
      </c>
      <c r="S460" s="3" t="str">
        <f t="shared" si="16"/>
        <v>Oct 28</v>
      </c>
    </row>
    <row r="461" spans="1:19" ht="26.25" x14ac:dyDescent="0.25">
      <c r="A461" s="1">
        <v>40844</v>
      </c>
      <c r="B461" s="1">
        <v>40844</v>
      </c>
      <c r="C461" s="2">
        <f t="shared" si="15"/>
        <v>1</v>
      </c>
      <c r="D461" s="6" t="s">
        <v>1548</v>
      </c>
      <c r="E461" s="3" t="s">
        <v>1549</v>
      </c>
      <c r="F461" s="4" t="s">
        <v>58</v>
      </c>
      <c r="G461" s="3" t="s">
        <v>1200</v>
      </c>
      <c r="H461" s="3" t="s">
        <v>1550</v>
      </c>
      <c r="I461" s="3" t="s">
        <v>455</v>
      </c>
      <c r="J461" s="3" t="s">
        <v>61</v>
      </c>
      <c r="K461" s="3">
        <v>66441</v>
      </c>
      <c r="L461" s="3" t="s">
        <v>1202</v>
      </c>
      <c r="M461" s="3"/>
      <c r="N461" s="3"/>
      <c r="O461" s="3"/>
      <c r="P461" s="3" t="s">
        <v>1203</v>
      </c>
      <c r="Q461" s="3" t="s">
        <v>67</v>
      </c>
      <c r="R461" s="3" t="s">
        <v>67</v>
      </c>
      <c r="S461" s="3" t="str">
        <f t="shared" si="16"/>
        <v>Oct 28</v>
      </c>
    </row>
    <row r="462" spans="1:19" x14ac:dyDescent="0.25">
      <c r="A462" s="1">
        <v>40844</v>
      </c>
      <c r="B462" s="1">
        <v>40844</v>
      </c>
      <c r="C462" s="2">
        <f t="shared" si="15"/>
        <v>1</v>
      </c>
      <c r="D462" s="6" t="s">
        <v>1551</v>
      </c>
      <c r="E462" s="3" t="s">
        <v>1551</v>
      </c>
      <c r="F462" s="4" t="s">
        <v>58</v>
      </c>
      <c r="G462" s="3" t="s">
        <v>1327</v>
      </c>
      <c r="H462" s="3"/>
      <c r="I462" s="3" t="s">
        <v>60</v>
      </c>
      <c r="J462" s="3" t="s">
        <v>61</v>
      </c>
      <c r="K462" s="3">
        <v>66603</v>
      </c>
      <c r="L462" s="3" t="s">
        <v>1328</v>
      </c>
      <c r="M462" s="3"/>
      <c r="N462" s="3"/>
      <c r="O462" s="3"/>
      <c r="P462" s="3" t="s">
        <v>1329</v>
      </c>
      <c r="Q462" s="3" t="s">
        <v>67</v>
      </c>
      <c r="R462" s="3"/>
      <c r="S462" s="3" t="str">
        <f t="shared" si="16"/>
        <v>Oct 28</v>
      </c>
    </row>
    <row r="463" spans="1:19" ht="39" x14ac:dyDescent="0.25">
      <c r="A463" s="1">
        <v>40844</v>
      </c>
      <c r="B463" s="1">
        <v>40844</v>
      </c>
      <c r="C463" s="2">
        <f t="shared" si="15"/>
        <v>1</v>
      </c>
      <c r="D463" s="6" t="s">
        <v>1552</v>
      </c>
      <c r="E463" s="3" t="s">
        <v>1553</v>
      </c>
      <c r="F463" s="4" t="s">
        <v>58</v>
      </c>
      <c r="G463" s="3" t="s">
        <v>1554</v>
      </c>
      <c r="H463" s="3" t="s">
        <v>1555</v>
      </c>
      <c r="I463" s="3" t="s">
        <v>193</v>
      </c>
      <c r="J463" s="3" t="s">
        <v>61</v>
      </c>
      <c r="K463" s="3">
        <v>67530</v>
      </c>
      <c r="L463" s="3" t="s">
        <v>474</v>
      </c>
      <c r="M463" s="3"/>
      <c r="N463" s="3"/>
      <c r="O463" s="3" t="s">
        <v>475</v>
      </c>
      <c r="P463" s="3" t="s">
        <v>1556</v>
      </c>
      <c r="Q463" s="3" t="s">
        <v>67</v>
      </c>
      <c r="R463" s="3"/>
      <c r="S463" s="3" t="str">
        <f t="shared" si="16"/>
        <v>Oct 28</v>
      </c>
    </row>
    <row r="464" spans="1:19" ht="26.25" x14ac:dyDescent="0.25">
      <c r="A464" s="1">
        <v>40844</v>
      </c>
      <c r="B464" s="1">
        <v>40844</v>
      </c>
      <c r="C464" s="2">
        <f t="shared" si="15"/>
        <v>1</v>
      </c>
      <c r="D464" s="6" t="s">
        <v>1557</v>
      </c>
      <c r="E464" s="3" t="s">
        <v>1558</v>
      </c>
      <c r="F464" s="4" t="s">
        <v>58</v>
      </c>
      <c r="G464" s="3" t="s">
        <v>1559</v>
      </c>
      <c r="H464" s="3" t="s">
        <v>1560</v>
      </c>
      <c r="I464" s="3" t="s">
        <v>303</v>
      </c>
      <c r="J464" s="3" t="s">
        <v>61</v>
      </c>
      <c r="K464" s="3">
        <v>66502</v>
      </c>
      <c r="L464" s="3" t="s">
        <v>1561</v>
      </c>
      <c r="M464" s="3"/>
      <c r="N464" s="3"/>
      <c r="O464" s="3" t="s">
        <v>1562</v>
      </c>
      <c r="P464" s="3" t="s">
        <v>1563</v>
      </c>
      <c r="Q464" s="3"/>
      <c r="R464" s="3"/>
      <c r="S464" s="3" t="str">
        <f t="shared" si="16"/>
        <v>Oct 28</v>
      </c>
    </row>
    <row r="465" spans="1:19" x14ac:dyDescent="0.25">
      <c r="A465" s="1">
        <v>40844</v>
      </c>
      <c r="B465" s="1">
        <v>40844</v>
      </c>
      <c r="C465" s="2">
        <f t="shared" si="15"/>
        <v>1</v>
      </c>
      <c r="D465" s="6" t="s">
        <v>1564</v>
      </c>
      <c r="E465" s="3" t="s">
        <v>1564</v>
      </c>
      <c r="F465" s="4" t="s">
        <v>58</v>
      </c>
      <c r="G465" s="3" t="s">
        <v>297</v>
      </c>
      <c r="H465" s="3"/>
      <c r="I465" s="3" t="s">
        <v>60</v>
      </c>
      <c r="J465" s="3" t="s">
        <v>61</v>
      </c>
      <c r="K465" s="3">
        <v>66606</v>
      </c>
      <c r="L465" s="3" t="s">
        <v>298</v>
      </c>
      <c r="M465" s="3"/>
      <c r="N465" s="3"/>
      <c r="O465" s="3"/>
      <c r="P465" s="3" t="s">
        <v>299</v>
      </c>
      <c r="Q465" s="3" t="s">
        <v>67</v>
      </c>
      <c r="R465" s="3" t="s">
        <v>67</v>
      </c>
      <c r="S465" s="3" t="str">
        <f t="shared" si="16"/>
        <v>Oct 28</v>
      </c>
    </row>
    <row r="466" spans="1:19" ht="26.25" x14ac:dyDescent="0.25">
      <c r="A466" s="1">
        <v>40845</v>
      </c>
      <c r="B466" s="1">
        <v>40845</v>
      </c>
      <c r="C466" s="2">
        <f t="shared" si="15"/>
        <v>1</v>
      </c>
      <c r="D466" s="6" t="s">
        <v>1592</v>
      </c>
      <c r="E466" s="3" t="s">
        <v>1593</v>
      </c>
      <c r="F466" s="4" t="s">
        <v>58</v>
      </c>
      <c r="G466" s="3" t="s">
        <v>1594</v>
      </c>
      <c r="H466" s="3" t="s">
        <v>1595</v>
      </c>
      <c r="I466" s="3" t="s">
        <v>71</v>
      </c>
      <c r="J466" s="3" t="s">
        <v>61</v>
      </c>
      <c r="K466" s="3">
        <v>67202</v>
      </c>
      <c r="L466" s="3" t="s">
        <v>1596</v>
      </c>
      <c r="M466" s="3"/>
      <c r="N466" s="3"/>
      <c r="O466" s="3" t="s">
        <v>1597</v>
      </c>
      <c r="P466" s="3" t="s">
        <v>1598</v>
      </c>
      <c r="Q466" s="3" t="s">
        <v>67</v>
      </c>
      <c r="R466" s="3"/>
      <c r="S466" s="3" t="str">
        <f t="shared" ref="S466:S479" si="17">"Oct 29"</f>
        <v>Oct 29</v>
      </c>
    </row>
    <row r="467" spans="1:19" ht="26.25" x14ac:dyDescent="0.25">
      <c r="A467" s="1">
        <v>40845</v>
      </c>
      <c r="B467" s="1">
        <v>40845</v>
      </c>
      <c r="C467" s="2">
        <f t="shared" si="15"/>
        <v>1</v>
      </c>
      <c r="D467" s="6" t="s">
        <v>1599</v>
      </c>
      <c r="E467" s="3" t="s">
        <v>1600</v>
      </c>
      <c r="F467" s="4" t="s">
        <v>58</v>
      </c>
      <c r="G467" s="3" t="s">
        <v>1601</v>
      </c>
      <c r="H467" s="3"/>
      <c r="I467" s="3" t="s">
        <v>85</v>
      </c>
      <c r="J467" s="3" t="s">
        <v>61</v>
      </c>
      <c r="K467" s="3">
        <v>67501</v>
      </c>
      <c r="L467" s="3" t="s">
        <v>1602</v>
      </c>
      <c r="M467" s="3"/>
      <c r="N467" s="3"/>
      <c r="O467" s="3"/>
      <c r="P467" s="3"/>
      <c r="Q467" s="3" t="s">
        <v>67</v>
      </c>
      <c r="R467" s="3" t="s">
        <v>67</v>
      </c>
      <c r="S467" s="3" t="str">
        <f t="shared" si="17"/>
        <v>Oct 29</v>
      </c>
    </row>
    <row r="468" spans="1:19" ht="26.25" x14ac:dyDescent="0.25">
      <c r="A468" s="1">
        <v>40845</v>
      </c>
      <c r="B468" s="1">
        <v>40845</v>
      </c>
      <c r="C468" s="2">
        <f t="shared" si="15"/>
        <v>1</v>
      </c>
      <c r="D468" s="6" t="s">
        <v>1603</v>
      </c>
      <c r="E468" s="3" t="s">
        <v>1604</v>
      </c>
      <c r="F468" s="4" t="s">
        <v>58</v>
      </c>
      <c r="G468" s="3" t="s">
        <v>1605</v>
      </c>
      <c r="H468" s="3"/>
      <c r="I468" s="3" t="s">
        <v>1606</v>
      </c>
      <c r="J468" s="3" t="s">
        <v>61</v>
      </c>
      <c r="K468" s="3">
        <v>66423</v>
      </c>
      <c r="L468" s="3" t="s">
        <v>1607</v>
      </c>
      <c r="M468" s="3"/>
      <c r="N468" s="3"/>
      <c r="O468" s="3"/>
      <c r="P468" s="3"/>
      <c r="Q468" s="3" t="s">
        <v>67</v>
      </c>
      <c r="R468" s="3"/>
      <c r="S468" s="3" t="str">
        <f t="shared" si="17"/>
        <v>Oct 29</v>
      </c>
    </row>
    <row r="469" spans="1:19" x14ac:dyDescent="0.25">
      <c r="A469" s="1">
        <v>40845</v>
      </c>
      <c r="B469" s="1">
        <v>40845</v>
      </c>
      <c r="C469" s="2">
        <f t="shared" si="15"/>
        <v>1</v>
      </c>
      <c r="D469" s="6" t="s">
        <v>1608</v>
      </c>
      <c r="E469" s="3" t="s">
        <v>1608</v>
      </c>
      <c r="F469" s="4" t="s">
        <v>58</v>
      </c>
      <c r="G469" s="3" t="s">
        <v>1609</v>
      </c>
      <c r="H469" s="3" t="s">
        <v>1610</v>
      </c>
      <c r="I469" s="3" t="s">
        <v>60</v>
      </c>
      <c r="J469" s="3" t="s">
        <v>61</v>
      </c>
      <c r="K469" s="3">
        <v>66608</v>
      </c>
      <c r="L469" s="3" t="s">
        <v>113</v>
      </c>
      <c r="M469" s="3"/>
      <c r="N469" s="3"/>
      <c r="O469" s="3"/>
      <c r="P469" s="3"/>
      <c r="Q469" s="3" t="s">
        <v>67</v>
      </c>
      <c r="R469" s="3" t="s">
        <v>67</v>
      </c>
      <c r="S469" s="3" t="str">
        <f t="shared" si="17"/>
        <v>Oct 29</v>
      </c>
    </row>
    <row r="470" spans="1:19" ht="26.25" x14ac:dyDescent="0.25">
      <c r="A470" s="1">
        <v>40845</v>
      </c>
      <c r="B470" s="1">
        <v>40845</v>
      </c>
      <c r="C470" s="2">
        <f t="shared" si="15"/>
        <v>1</v>
      </c>
      <c r="D470" s="6" t="s">
        <v>1611</v>
      </c>
      <c r="E470" s="3" t="s">
        <v>1612</v>
      </c>
      <c r="F470" s="4" t="s">
        <v>58</v>
      </c>
      <c r="G470" s="3" t="s">
        <v>1613</v>
      </c>
      <c r="H470" s="3"/>
      <c r="I470" s="3" t="s">
        <v>172</v>
      </c>
      <c r="J470" s="3" t="s">
        <v>61</v>
      </c>
      <c r="K470" s="3">
        <v>66092</v>
      </c>
      <c r="L470" s="3" t="s">
        <v>1614</v>
      </c>
      <c r="M470" s="3"/>
      <c r="N470" s="3"/>
      <c r="O470" s="3"/>
      <c r="P470" s="3" t="s">
        <v>1615</v>
      </c>
      <c r="Q470" s="3"/>
      <c r="R470" s="3"/>
      <c r="S470" s="3" t="str">
        <f t="shared" si="17"/>
        <v>Oct 29</v>
      </c>
    </row>
    <row r="471" spans="1:19" ht="26.25" x14ac:dyDescent="0.25">
      <c r="A471" s="1">
        <v>40845</v>
      </c>
      <c r="B471" s="1">
        <v>40845</v>
      </c>
      <c r="C471" s="2">
        <f t="shared" si="15"/>
        <v>1</v>
      </c>
      <c r="D471" s="6" t="s">
        <v>617</v>
      </c>
      <c r="E471" s="3" t="s">
        <v>997</v>
      </c>
      <c r="F471" s="4" t="s">
        <v>58</v>
      </c>
      <c r="G471" s="3" t="s">
        <v>619</v>
      </c>
      <c r="H471" s="3" t="s">
        <v>620</v>
      </c>
      <c r="I471" s="3" t="s">
        <v>303</v>
      </c>
      <c r="J471" s="3" t="s">
        <v>61</v>
      </c>
      <c r="K471" s="3">
        <v>66502</v>
      </c>
      <c r="L471" s="3" t="s">
        <v>621</v>
      </c>
      <c r="M471" s="3" t="s">
        <v>622</v>
      </c>
      <c r="N471" s="3"/>
      <c r="O471" s="3" t="s">
        <v>623</v>
      </c>
      <c r="P471" s="3" t="s">
        <v>624</v>
      </c>
      <c r="Q471" s="3" t="s">
        <v>67</v>
      </c>
      <c r="R471" s="3" t="s">
        <v>67</v>
      </c>
      <c r="S471" s="3" t="str">
        <f t="shared" si="17"/>
        <v>Oct 29</v>
      </c>
    </row>
    <row r="472" spans="1:19" x14ac:dyDescent="0.25">
      <c r="A472" s="1">
        <v>40845</v>
      </c>
      <c r="B472" s="1">
        <v>40845</v>
      </c>
      <c r="C472" s="2">
        <f t="shared" si="15"/>
        <v>1</v>
      </c>
      <c r="D472" s="6" t="s">
        <v>1616</v>
      </c>
      <c r="E472" s="3" t="s">
        <v>1617</v>
      </c>
      <c r="F472" s="4" t="s">
        <v>58</v>
      </c>
      <c r="G472" s="3" t="s">
        <v>529</v>
      </c>
      <c r="H472" s="3"/>
      <c r="I472" s="3" t="s">
        <v>1618</v>
      </c>
      <c r="J472" s="3" t="s">
        <v>61</v>
      </c>
      <c r="K472" s="3">
        <v>67045</v>
      </c>
      <c r="L472" s="3" t="s">
        <v>1619</v>
      </c>
      <c r="M472" s="3"/>
      <c r="N472" s="3"/>
      <c r="O472" s="3" t="s">
        <v>1620</v>
      </c>
      <c r="P472" s="3"/>
      <c r="Q472" s="3" t="s">
        <v>67</v>
      </c>
      <c r="R472" s="3"/>
      <c r="S472" s="3" t="str">
        <f t="shared" si="17"/>
        <v>Oct 29</v>
      </c>
    </row>
    <row r="473" spans="1:19" ht="26.25" x14ac:dyDescent="0.25">
      <c r="A473" s="1">
        <v>40845</v>
      </c>
      <c r="B473" s="1">
        <v>40845</v>
      </c>
      <c r="C473" s="2">
        <f t="shared" si="15"/>
        <v>1</v>
      </c>
      <c r="D473" s="6" t="s">
        <v>1621</v>
      </c>
      <c r="E473" s="3" t="s">
        <v>1622</v>
      </c>
      <c r="F473" s="4" t="s">
        <v>58</v>
      </c>
      <c r="G473" s="3" t="s">
        <v>1623</v>
      </c>
      <c r="H473" s="3"/>
      <c r="I473" s="3" t="s">
        <v>1624</v>
      </c>
      <c r="J473" s="3" t="s">
        <v>61</v>
      </c>
      <c r="K473" s="3">
        <v>66021</v>
      </c>
      <c r="L473" s="3" t="s">
        <v>1625</v>
      </c>
      <c r="M473" s="3"/>
      <c r="N473" s="3"/>
      <c r="O473" s="3" t="s">
        <v>1437</v>
      </c>
      <c r="P473" s="3" t="s">
        <v>1438</v>
      </c>
      <c r="Q473" s="3" t="s">
        <v>67</v>
      </c>
      <c r="R473" s="3"/>
      <c r="S473" s="3" t="str">
        <f t="shared" si="17"/>
        <v>Oct 29</v>
      </c>
    </row>
    <row r="474" spans="1:19" x14ac:dyDescent="0.25">
      <c r="A474" s="1">
        <v>40845</v>
      </c>
      <c r="B474" s="1">
        <v>40845</v>
      </c>
      <c r="C474" s="2">
        <f t="shared" si="15"/>
        <v>1</v>
      </c>
      <c r="D474" s="6" t="s">
        <v>1012</v>
      </c>
      <c r="E474" s="3" t="s">
        <v>1626</v>
      </c>
      <c r="F474" s="4" t="s">
        <v>58</v>
      </c>
      <c r="G474" s="3" t="s">
        <v>1627</v>
      </c>
      <c r="H474" s="3" t="s">
        <v>1628</v>
      </c>
      <c r="I474" s="3" t="s">
        <v>227</v>
      </c>
      <c r="J474" s="3" t="s">
        <v>61</v>
      </c>
      <c r="K474" s="3">
        <v>67410</v>
      </c>
      <c r="L474" s="3" t="s">
        <v>1629</v>
      </c>
      <c r="M474" s="3" t="s">
        <v>1630</v>
      </c>
      <c r="N474" s="3"/>
      <c r="O474" s="3" t="s">
        <v>1631</v>
      </c>
      <c r="P474" s="3" t="s">
        <v>1632</v>
      </c>
      <c r="Q474" s="3" t="s">
        <v>67</v>
      </c>
      <c r="R474" s="3"/>
      <c r="S474" s="3" t="str">
        <f t="shared" si="17"/>
        <v>Oct 29</v>
      </c>
    </row>
    <row r="475" spans="1:19" x14ac:dyDescent="0.25">
      <c r="A475" s="1">
        <v>40845</v>
      </c>
      <c r="B475" s="1">
        <v>40845</v>
      </c>
      <c r="C475" s="2">
        <f t="shared" si="15"/>
        <v>1</v>
      </c>
      <c r="D475" s="6" t="s">
        <v>1633</v>
      </c>
      <c r="E475" s="3" t="s">
        <v>1633</v>
      </c>
      <c r="F475" s="4" t="s">
        <v>58</v>
      </c>
      <c r="G475" s="3" t="s">
        <v>551</v>
      </c>
      <c r="H475" s="3" t="s">
        <v>552</v>
      </c>
      <c r="I475" s="3" t="s">
        <v>60</v>
      </c>
      <c r="J475" s="3" t="s">
        <v>61</v>
      </c>
      <c r="K475" s="3">
        <v>66621</v>
      </c>
      <c r="L475" s="3" t="s">
        <v>553</v>
      </c>
      <c r="M475" s="3"/>
      <c r="N475" s="3"/>
      <c r="O475" s="3"/>
      <c r="P475" s="3" t="s">
        <v>554</v>
      </c>
      <c r="Q475" s="3" t="s">
        <v>67</v>
      </c>
      <c r="R475" s="3" t="s">
        <v>67</v>
      </c>
      <c r="S475" s="3" t="str">
        <f t="shared" si="17"/>
        <v>Oct 29</v>
      </c>
    </row>
    <row r="476" spans="1:19" ht="39" x14ac:dyDescent="0.25">
      <c r="A476" s="1">
        <v>40845</v>
      </c>
      <c r="B476" s="1">
        <v>40845</v>
      </c>
      <c r="C476" s="2">
        <f t="shared" si="15"/>
        <v>1</v>
      </c>
      <c r="D476" s="6" t="s">
        <v>1634</v>
      </c>
      <c r="E476" s="3" t="s">
        <v>1635</v>
      </c>
      <c r="F476" s="4" t="s">
        <v>58</v>
      </c>
      <c r="G476" s="3" t="s">
        <v>1348</v>
      </c>
      <c r="H476" s="3"/>
      <c r="I476" s="3" t="s">
        <v>105</v>
      </c>
      <c r="J476" s="3" t="s">
        <v>61</v>
      </c>
      <c r="K476" s="3">
        <v>66046</v>
      </c>
      <c r="L476" s="3" t="s">
        <v>1349</v>
      </c>
      <c r="M476" s="3"/>
      <c r="N476" s="3"/>
      <c r="O476" s="3"/>
      <c r="P476" s="3" t="s">
        <v>1350</v>
      </c>
      <c r="Q476" s="3" t="s">
        <v>67</v>
      </c>
      <c r="R476" s="3" t="s">
        <v>67</v>
      </c>
      <c r="S476" s="3" t="str">
        <f t="shared" si="17"/>
        <v>Oct 29</v>
      </c>
    </row>
    <row r="477" spans="1:19" x14ac:dyDescent="0.25">
      <c r="A477" s="1">
        <v>40845</v>
      </c>
      <c r="B477" s="1">
        <v>40845</v>
      </c>
      <c r="C477" s="2">
        <f t="shared" si="15"/>
        <v>1</v>
      </c>
      <c r="D477" s="6" t="s">
        <v>1636</v>
      </c>
      <c r="E477" s="3" t="s">
        <v>1636</v>
      </c>
      <c r="F477" s="4" t="s">
        <v>58</v>
      </c>
      <c r="G477" s="3" t="s">
        <v>297</v>
      </c>
      <c r="H477" s="3"/>
      <c r="I477" s="3" t="s">
        <v>60</v>
      </c>
      <c r="J477" s="3" t="s">
        <v>61</v>
      </c>
      <c r="K477" s="3">
        <v>66606</v>
      </c>
      <c r="L477" s="3" t="s">
        <v>298</v>
      </c>
      <c r="M477" s="3"/>
      <c r="N477" s="3"/>
      <c r="O477" s="3"/>
      <c r="P477" s="3" t="s">
        <v>299</v>
      </c>
      <c r="Q477" s="3" t="s">
        <v>67</v>
      </c>
      <c r="R477" s="3" t="s">
        <v>67</v>
      </c>
      <c r="S477" s="3" t="str">
        <f t="shared" si="17"/>
        <v>Oct 29</v>
      </c>
    </row>
    <row r="478" spans="1:19" ht="26.25" x14ac:dyDescent="0.25">
      <c r="A478" s="1">
        <v>40845</v>
      </c>
      <c r="B478" s="1">
        <v>40845</v>
      </c>
      <c r="C478" s="2">
        <f t="shared" si="15"/>
        <v>1</v>
      </c>
      <c r="D478" s="6" t="s">
        <v>1637</v>
      </c>
      <c r="E478" s="3" t="s">
        <v>1638</v>
      </c>
      <c r="F478" s="4" t="s">
        <v>58</v>
      </c>
      <c r="G478" s="3" t="s">
        <v>1185</v>
      </c>
      <c r="H478" s="3" t="s">
        <v>1186</v>
      </c>
      <c r="I478" s="3" t="s">
        <v>1187</v>
      </c>
      <c r="J478" s="3" t="s">
        <v>61</v>
      </c>
      <c r="K478" s="3">
        <v>66061</v>
      </c>
      <c r="L478" s="3" t="s">
        <v>1188</v>
      </c>
      <c r="M478" s="3"/>
      <c r="N478" s="3"/>
      <c r="O478" s="3" t="s">
        <v>1639</v>
      </c>
      <c r="P478" s="3" t="s">
        <v>1190</v>
      </c>
      <c r="Q478" s="3" t="s">
        <v>67</v>
      </c>
      <c r="R478" s="3" t="s">
        <v>67</v>
      </c>
      <c r="S478" s="3" t="str">
        <f t="shared" si="17"/>
        <v>Oct 29</v>
      </c>
    </row>
    <row r="479" spans="1:19" x14ac:dyDescent="0.25">
      <c r="A479" s="1">
        <v>40845</v>
      </c>
      <c r="B479" s="1">
        <v>40845</v>
      </c>
      <c r="C479" s="2">
        <f t="shared" si="15"/>
        <v>1</v>
      </c>
      <c r="D479" s="6" t="s">
        <v>1640</v>
      </c>
      <c r="E479" s="3" t="s">
        <v>1641</v>
      </c>
      <c r="F479" s="4" t="s">
        <v>58</v>
      </c>
      <c r="G479" s="3" t="s">
        <v>1642</v>
      </c>
      <c r="H479" s="3"/>
      <c r="I479" s="3" t="s">
        <v>165</v>
      </c>
      <c r="J479" s="3" t="s">
        <v>61</v>
      </c>
      <c r="K479" s="3">
        <v>66204</v>
      </c>
      <c r="L479" s="3" t="s">
        <v>1643</v>
      </c>
      <c r="M479" s="3"/>
      <c r="N479" s="3"/>
      <c r="O479" s="3"/>
      <c r="P479" s="3" t="s">
        <v>1644</v>
      </c>
      <c r="Q479" s="3" t="s">
        <v>67</v>
      </c>
      <c r="R479" s="3"/>
      <c r="S479" s="3" t="str">
        <f t="shared" si="17"/>
        <v>Oct 29</v>
      </c>
    </row>
    <row r="480" spans="1:19" ht="26.25" x14ac:dyDescent="0.25">
      <c r="A480" s="1">
        <v>40846</v>
      </c>
      <c r="B480" s="1">
        <v>40846</v>
      </c>
      <c r="C480" s="2">
        <f t="shared" si="15"/>
        <v>1</v>
      </c>
      <c r="D480" s="6" t="s">
        <v>1653</v>
      </c>
      <c r="E480" s="3" t="s">
        <v>1654</v>
      </c>
      <c r="F480" s="4" t="s">
        <v>58</v>
      </c>
      <c r="G480" s="3" t="s">
        <v>1348</v>
      </c>
      <c r="H480" s="3"/>
      <c r="I480" s="3" t="s">
        <v>105</v>
      </c>
      <c r="J480" s="3" t="s">
        <v>61</v>
      </c>
      <c r="K480" s="3">
        <v>66046</v>
      </c>
      <c r="L480" s="3" t="s">
        <v>1349</v>
      </c>
      <c r="M480" s="3"/>
      <c r="N480" s="3"/>
      <c r="O480" s="3"/>
      <c r="P480" s="3" t="s">
        <v>1350</v>
      </c>
      <c r="Q480" s="3" t="s">
        <v>67</v>
      </c>
      <c r="R480" s="3" t="s">
        <v>67</v>
      </c>
      <c r="S480" s="3" t="str">
        <f>"Oct 30"</f>
        <v>Oct 30</v>
      </c>
    </row>
    <row r="481" spans="1:19" ht="51.75" x14ac:dyDescent="0.25">
      <c r="A481" s="1">
        <v>40846</v>
      </c>
      <c r="B481" s="1">
        <v>40846</v>
      </c>
      <c r="C481" s="2">
        <f t="shared" si="15"/>
        <v>1</v>
      </c>
      <c r="D481" s="6" t="s">
        <v>1655</v>
      </c>
      <c r="E481" s="3" t="s">
        <v>1656</v>
      </c>
      <c r="F481" s="4" t="s">
        <v>58</v>
      </c>
      <c r="G481" s="3" t="s">
        <v>1127</v>
      </c>
      <c r="H481" s="3" t="s">
        <v>1128</v>
      </c>
      <c r="I481" s="3" t="s">
        <v>303</v>
      </c>
      <c r="J481" s="3" t="s">
        <v>61</v>
      </c>
      <c r="K481" s="3">
        <v>66502</v>
      </c>
      <c r="L481" s="3" t="s">
        <v>1129</v>
      </c>
      <c r="M481" s="3"/>
      <c r="N481" s="3"/>
      <c r="O481" s="3" t="s">
        <v>1130</v>
      </c>
      <c r="P481" s="3" t="s">
        <v>1197</v>
      </c>
      <c r="Q481" s="3" t="s">
        <v>67</v>
      </c>
      <c r="R481" s="3" t="s">
        <v>67</v>
      </c>
      <c r="S481" s="3" t="str">
        <f>"Oct 30"</f>
        <v>Oct 30</v>
      </c>
    </row>
    <row r="482" spans="1:19" ht="39" x14ac:dyDescent="0.25">
      <c r="A482" s="1">
        <v>40847</v>
      </c>
      <c r="B482" s="1">
        <v>40847</v>
      </c>
      <c r="C482" s="2">
        <f t="shared" si="15"/>
        <v>1</v>
      </c>
      <c r="D482" s="6" t="s">
        <v>1657</v>
      </c>
      <c r="E482" s="3" t="s">
        <v>1658</v>
      </c>
      <c r="F482" s="4" t="s">
        <v>58</v>
      </c>
      <c r="G482" s="3" t="s">
        <v>1659</v>
      </c>
      <c r="H482" s="3" t="s">
        <v>1660</v>
      </c>
      <c r="I482" s="3" t="s">
        <v>888</v>
      </c>
      <c r="J482" s="3" t="s">
        <v>61</v>
      </c>
      <c r="K482" s="3">
        <v>66032</v>
      </c>
      <c r="L482" s="3" t="s">
        <v>889</v>
      </c>
      <c r="M482" s="3"/>
      <c r="N482" s="3"/>
      <c r="O482" s="3" t="s">
        <v>1661</v>
      </c>
      <c r="P482" s="3" t="s">
        <v>1662</v>
      </c>
      <c r="Q482" s="3" t="s">
        <v>67</v>
      </c>
      <c r="R482" s="3"/>
      <c r="S482" s="3" t="str">
        <f>"Oct 31"</f>
        <v>Oct 31</v>
      </c>
    </row>
    <row r="483" spans="1:19" ht="39" x14ac:dyDescent="0.25">
      <c r="A483" s="1">
        <v>40847</v>
      </c>
      <c r="B483" s="1">
        <v>40847</v>
      </c>
      <c r="C483" s="2">
        <f t="shared" si="15"/>
        <v>1</v>
      </c>
      <c r="D483" s="6" t="s">
        <v>1663</v>
      </c>
      <c r="E483" s="3" t="s">
        <v>1664</v>
      </c>
      <c r="F483" s="4" t="s">
        <v>58</v>
      </c>
      <c r="G483" s="3" t="s">
        <v>1665</v>
      </c>
      <c r="H483" s="3" t="s">
        <v>215</v>
      </c>
      <c r="I483" s="3" t="s">
        <v>105</v>
      </c>
      <c r="J483" s="3" t="s">
        <v>61</v>
      </c>
      <c r="K483" s="3">
        <v>66044</v>
      </c>
      <c r="L483" s="3" t="s">
        <v>844</v>
      </c>
      <c r="M483" s="3"/>
      <c r="N483" s="3"/>
      <c r="O483" s="3"/>
      <c r="P483" s="3"/>
      <c r="Q483" s="3" t="s">
        <v>67</v>
      </c>
      <c r="R483" s="3"/>
      <c r="S483" s="3" t="str">
        <f>"Oct 31"</f>
        <v>Oct 31</v>
      </c>
    </row>
    <row r="484" spans="1:19" ht="39" x14ac:dyDescent="0.25">
      <c r="A484" s="1">
        <v>40847</v>
      </c>
      <c r="B484" s="1">
        <v>40847</v>
      </c>
      <c r="C484" s="2">
        <f t="shared" si="15"/>
        <v>1</v>
      </c>
      <c r="D484" s="6" t="s">
        <v>1666</v>
      </c>
      <c r="E484" s="3" t="s">
        <v>1667</v>
      </c>
      <c r="F484" s="4" t="s">
        <v>58</v>
      </c>
      <c r="G484" s="3" t="s">
        <v>1668</v>
      </c>
      <c r="H484" s="3"/>
      <c r="I484" s="3" t="s">
        <v>865</v>
      </c>
      <c r="J484" s="3" t="s">
        <v>61</v>
      </c>
      <c r="K484" s="3">
        <v>67601</v>
      </c>
      <c r="L484" s="3" t="s">
        <v>1669</v>
      </c>
      <c r="M484" s="3"/>
      <c r="N484" s="3" t="s">
        <v>1670</v>
      </c>
      <c r="O484" s="3" t="s">
        <v>1671</v>
      </c>
      <c r="P484" s="3" t="s">
        <v>1672</v>
      </c>
      <c r="Q484" s="3" t="s">
        <v>67</v>
      </c>
      <c r="R484" s="3"/>
      <c r="S484" s="3" t="str">
        <f>"Oct 31"</f>
        <v>Oct 31</v>
      </c>
    </row>
    <row r="485" spans="1:19" ht="26.25" x14ac:dyDescent="0.25">
      <c r="A485" s="1">
        <v>40852</v>
      </c>
      <c r="B485" s="1">
        <v>40852</v>
      </c>
      <c r="C485" s="2">
        <f t="shared" si="15"/>
        <v>1</v>
      </c>
      <c r="D485" s="6" t="s">
        <v>1719</v>
      </c>
      <c r="E485" s="3" t="s">
        <v>1720</v>
      </c>
      <c r="F485" s="4" t="s">
        <v>58</v>
      </c>
      <c r="G485" s="3" t="s">
        <v>1721</v>
      </c>
      <c r="H485" s="3" t="s">
        <v>1722</v>
      </c>
      <c r="I485" s="3" t="s">
        <v>60</v>
      </c>
      <c r="J485" s="3" t="s">
        <v>61</v>
      </c>
      <c r="K485" s="3">
        <v>66604</v>
      </c>
      <c r="L485" s="3" t="s">
        <v>1723</v>
      </c>
      <c r="M485" s="3"/>
      <c r="N485" s="3"/>
      <c r="O485" s="3"/>
      <c r="P485" s="3"/>
      <c r="Q485" s="3" t="s">
        <v>67</v>
      </c>
      <c r="R485" s="3"/>
      <c r="S485" s="3" t="str">
        <f t="shared" ref="S485:S497" si="18">"Nov 5"</f>
        <v>Nov 5</v>
      </c>
    </row>
    <row r="486" spans="1:19" ht="51.75" x14ac:dyDescent="0.25">
      <c r="A486" s="1">
        <v>40852</v>
      </c>
      <c r="B486" s="1">
        <v>40852</v>
      </c>
      <c r="C486" s="2">
        <f t="shared" si="15"/>
        <v>1</v>
      </c>
      <c r="D486" s="6" t="s">
        <v>1724</v>
      </c>
      <c r="E486" s="3" t="s">
        <v>1725</v>
      </c>
      <c r="F486" s="4" t="s">
        <v>58</v>
      </c>
      <c r="G486" s="3" t="s">
        <v>1726</v>
      </c>
      <c r="H486" s="3"/>
      <c r="I486" s="3" t="s">
        <v>1727</v>
      </c>
      <c r="J486" s="3" t="s">
        <v>61</v>
      </c>
      <c r="K486" s="3">
        <v>67003</v>
      </c>
      <c r="L486" s="3" t="s">
        <v>1728</v>
      </c>
      <c r="M486" s="3"/>
      <c r="N486" s="3" t="s">
        <v>1729</v>
      </c>
      <c r="O486" s="3" t="s">
        <v>1730</v>
      </c>
      <c r="P486" s="3" t="s">
        <v>1731</v>
      </c>
      <c r="Q486" s="3" t="s">
        <v>67</v>
      </c>
      <c r="R486" s="3"/>
      <c r="S486" s="3" t="str">
        <f t="shared" si="18"/>
        <v>Nov 5</v>
      </c>
    </row>
    <row r="487" spans="1:19" ht="39" x14ac:dyDescent="0.25">
      <c r="A487" s="1">
        <v>40852</v>
      </c>
      <c r="B487" s="1">
        <v>40852</v>
      </c>
      <c r="C487" s="2">
        <f t="shared" si="15"/>
        <v>1</v>
      </c>
      <c r="D487" s="6" t="s">
        <v>1732</v>
      </c>
      <c r="E487" s="3" t="s">
        <v>1733</v>
      </c>
      <c r="F487" s="4" t="s">
        <v>58</v>
      </c>
      <c r="G487" s="3" t="s">
        <v>1734</v>
      </c>
      <c r="H487" s="3" t="s">
        <v>1735</v>
      </c>
      <c r="I487" s="3" t="s">
        <v>1006</v>
      </c>
      <c r="J487" s="3" t="s">
        <v>61</v>
      </c>
      <c r="K487" s="3">
        <v>66514</v>
      </c>
      <c r="L487" s="3" t="s">
        <v>1736</v>
      </c>
      <c r="M487" s="3"/>
      <c r="N487" s="3"/>
      <c r="O487" s="3" t="s">
        <v>1737</v>
      </c>
      <c r="P487" s="3" t="s">
        <v>1738</v>
      </c>
      <c r="Q487" s="3"/>
      <c r="R487" s="3" t="s">
        <v>67</v>
      </c>
      <c r="S487" s="3" t="str">
        <f t="shared" si="18"/>
        <v>Nov 5</v>
      </c>
    </row>
    <row r="488" spans="1:19" ht="26.25" x14ac:dyDescent="0.25">
      <c r="A488" s="1">
        <v>40852</v>
      </c>
      <c r="B488" s="1">
        <v>40852</v>
      </c>
      <c r="C488" s="2">
        <f t="shared" si="15"/>
        <v>1</v>
      </c>
      <c r="D488" s="6" t="s">
        <v>1739</v>
      </c>
      <c r="E488" s="3" t="s">
        <v>1740</v>
      </c>
      <c r="F488" s="4" t="s">
        <v>58</v>
      </c>
      <c r="G488" s="3" t="s">
        <v>1741</v>
      </c>
      <c r="H488" s="3"/>
      <c r="I488" s="3" t="s">
        <v>1366</v>
      </c>
      <c r="J488" s="3" t="s">
        <v>61</v>
      </c>
      <c r="K488" s="3">
        <v>67045</v>
      </c>
      <c r="L488" s="3" t="s">
        <v>1742</v>
      </c>
      <c r="M488" s="3"/>
      <c r="N488" s="3"/>
      <c r="O488" s="3" t="s">
        <v>1743</v>
      </c>
      <c r="P488" s="3"/>
      <c r="Q488" s="3" t="s">
        <v>67</v>
      </c>
      <c r="R488" s="3"/>
      <c r="S488" s="3" t="str">
        <f t="shared" si="18"/>
        <v>Nov 5</v>
      </c>
    </row>
    <row r="489" spans="1:19" x14ac:dyDescent="0.25">
      <c r="A489" s="1">
        <v>40852</v>
      </c>
      <c r="B489" s="1">
        <v>40852</v>
      </c>
      <c r="C489" s="2">
        <f t="shared" si="15"/>
        <v>1</v>
      </c>
      <c r="D489" s="6" t="s">
        <v>1694</v>
      </c>
      <c r="E489" s="3" t="s">
        <v>1744</v>
      </c>
      <c r="F489" s="4" t="s">
        <v>58</v>
      </c>
      <c r="G489" s="3" t="s">
        <v>1745</v>
      </c>
      <c r="H489" s="3" t="s">
        <v>1746</v>
      </c>
      <c r="I489" s="3" t="s">
        <v>261</v>
      </c>
      <c r="J489" s="3" t="s">
        <v>61</v>
      </c>
      <c r="K489" s="3">
        <v>67042</v>
      </c>
      <c r="L489" s="3" t="s">
        <v>1697</v>
      </c>
      <c r="M489" s="3"/>
      <c r="N489" s="3" t="s">
        <v>1747</v>
      </c>
      <c r="O489" s="3" t="s">
        <v>1698</v>
      </c>
      <c r="P489" s="3" t="s">
        <v>1748</v>
      </c>
      <c r="Q489" s="3" t="s">
        <v>67</v>
      </c>
      <c r="R489" s="3"/>
      <c r="S489" s="3" t="str">
        <f t="shared" si="18"/>
        <v>Nov 5</v>
      </c>
    </row>
    <row r="490" spans="1:19" ht="39" x14ac:dyDescent="0.25">
      <c r="A490" s="1">
        <v>40852</v>
      </c>
      <c r="B490" s="1">
        <v>40852</v>
      </c>
      <c r="C490" s="2">
        <f t="shared" si="15"/>
        <v>1</v>
      </c>
      <c r="D490" s="6" t="s">
        <v>1749</v>
      </c>
      <c r="E490" s="3" t="s">
        <v>1750</v>
      </c>
      <c r="F490" s="4" t="s">
        <v>58</v>
      </c>
      <c r="G490" s="3" t="s">
        <v>1751</v>
      </c>
      <c r="H490" s="3" t="s">
        <v>215</v>
      </c>
      <c r="I490" s="3" t="s">
        <v>963</v>
      </c>
      <c r="J490" s="3" t="s">
        <v>61</v>
      </c>
      <c r="K490" s="3">
        <v>67550</v>
      </c>
      <c r="L490" s="3" t="s">
        <v>1752</v>
      </c>
      <c r="M490" s="3" t="s">
        <v>1753</v>
      </c>
      <c r="N490" s="3" t="s">
        <v>1754</v>
      </c>
      <c r="O490" s="3" t="s">
        <v>1755</v>
      </c>
      <c r="P490" s="3" t="s">
        <v>1756</v>
      </c>
      <c r="Q490" s="3" t="s">
        <v>67</v>
      </c>
      <c r="R490" s="3"/>
      <c r="S490" s="3" t="str">
        <f t="shared" si="18"/>
        <v>Nov 5</v>
      </c>
    </row>
    <row r="491" spans="1:19" ht="26.25" x14ac:dyDescent="0.25">
      <c r="A491" s="1">
        <v>40852</v>
      </c>
      <c r="B491" s="1">
        <v>40852</v>
      </c>
      <c r="C491" s="2">
        <f t="shared" si="15"/>
        <v>1</v>
      </c>
      <c r="D491" s="6" t="s">
        <v>1757</v>
      </c>
      <c r="E491" s="3" t="s">
        <v>1758</v>
      </c>
      <c r="F491" s="4" t="s">
        <v>58</v>
      </c>
      <c r="G491" s="3" t="s">
        <v>1200</v>
      </c>
      <c r="H491" s="3" t="s">
        <v>1550</v>
      </c>
      <c r="I491" s="3" t="s">
        <v>455</v>
      </c>
      <c r="J491" s="3" t="s">
        <v>61</v>
      </c>
      <c r="K491" s="3">
        <v>66441</v>
      </c>
      <c r="L491" s="3" t="s">
        <v>1202</v>
      </c>
      <c r="M491" s="3"/>
      <c r="N491" s="3"/>
      <c r="O491" s="3"/>
      <c r="P491" s="3" t="s">
        <v>1203</v>
      </c>
      <c r="Q491" s="3" t="s">
        <v>67</v>
      </c>
      <c r="R491" s="3" t="s">
        <v>67</v>
      </c>
      <c r="S491" s="3" t="str">
        <f t="shared" si="18"/>
        <v>Nov 5</v>
      </c>
    </row>
    <row r="492" spans="1:19" ht="26.25" x14ac:dyDescent="0.25">
      <c r="A492" s="1">
        <v>40852</v>
      </c>
      <c r="B492" s="1">
        <v>40852</v>
      </c>
      <c r="C492" s="2">
        <f t="shared" si="15"/>
        <v>1</v>
      </c>
      <c r="D492" s="6" t="s">
        <v>1759</v>
      </c>
      <c r="E492" s="3" t="s">
        <v>1760</v>
      </c>
      <c r="F492" s="4" t="s">
        <v>58</v>
      </c>
      <c r="G492" s="3" t="s">
        <v>1761</v>
      </c>
      <c r="H492" s="3"/>
      <c r="I492" s="3" t="s">
        <v>1366</v>
      </c>
      <c r="J492" s="3" t="s">
        <v>61</v>
      </c>
      <c r="K492" s="3">
        <v>67045</v>
      </c>
      <c r="L492" s="3" t="s">
        <v>1762</v>
      </c>
      <c r="M492" s="3"/>
      <c r="N492" s="3"/>
      <c r="O492" s="3"/>
      <c r="P492" s="3" t="s">
        <v>1763</v>
      </c>
      <c r="Q492" s="3" t="s">
        <v>67</v>
      </c>
      <c r="R492" s="3"/>
      <c r="S492" s="3" t="str">
        <f t="shared" si="18"/>
        <v>Nov 5</v>
      </c>
    </row>
    <row r="493" spans="1:19" ht="26.25" x14ac:dyDescent="0.25">
      <c r="A493" s="1">
        <v>40852</v>
      </c>
      <c r="B493" s="1">
        <v>40852</v>
      </c>
      <c r="C493" s="2">
        <f t="shared" si="15"/>
        <v>1</v>
      </c>
      <c r="D493" s="6" t="s">
        <v>1764</v>
      </c>
      <c r="E493" s="3" t="s">
        <v>1765</v>
      </c>
      <c r="F493" s="4" t="s">
        <v>58</v>
      </c>
      <c r="G493" s="3" t="s">
        <v>1766</v>
      </c>
      <c r="H493" s="3" t="s">
        <v>1767</v>
      </c>
      <c r="I493" s="3" t="s">
        <v>1768</v>
      </c>
      <c r="J493" s="3" t="s">
        <v>61</v>
      </c>
      <c r="K493" s="3">
        <v>67455</v>
      </c>
      <c r="L493" s="3" t="s">
        <v>1769</v>
      </c>
      <c r="M493" s="3"/>
      <c r="N493" s="3"/>
      <c r="O493" s="3"/>
      <c r="P493" s="3"/>
      <c r="Q493" s="3" t="s">
        <v>67</v>
      </c>
      <c r="R493" s="3" t="s">
        <v>67</v>
      </c>
      <c r="S493" s="3" t="str">
        <f t="shared" si="18"/>
        <v>Nov 5</v>
      </c>
    </row>
    <row r="494" spans="1:19" ht="39" x14ac:dyDescent="0.25">
      <c r="A494" s="1">
        <v>40852</v>
      </c>
      <c r="B494" s="1">
        <v>40852</v>
      </c>
      <c r="C494" s="2">
        <f t="shared" si="15"/>
        <v>1</v>
      </c>
      <c r="D494" s="6" t="s">
        <v>1770</v>
      </c>
      <c r="E494" s="3" t="s">
        <v>1771</v>
      </c>
      <c r="F494" s="4" t="s">
        <v>58</v>
      </c>
      <c r="G494" s="3" t="s">
        <v>1772</v>
      </c>
      <c r="H494" s="3" t="s">
        <v>1773</v>
      </c>
      <c r="I494" s="3" t="s">
        <v>1774</v>
      </c>
      <c r="J494" s="3" t="s">
        <v>61</v>
      </c>
      <c r="K494" s="3">
        <v>67631</v>
      </c>
      <c r="L494" s="3" t="s">
        <v>1775</v>
      </c>
      <c r="M494" s="3"/>
      <c r="N494" s="3"/>
      <c r="O494" s="3" t="s">
        <v>1776</v>
      </c>
      <c r="P494" s="3" t="s">
        <v>1777</v>
      </c>
      <c r="Q494" s="3"/>
      <c r="R494" s="3" t="s">
        <v>67</v>
      </c>
      <c r="S494" s="3" t="str">
        <f t="shared" si="18"/>
        <v>Nov 5</v>
      </c>
    </row>
    <row r="495" spans="1:19" x14ac:dyDescent="0.25">
      <c r="A495" s="1">
        <v>40852</v>
      </c>
      <c r="B495" s="1">
        <v>40852</v>
      </c>
      <c r="C495" s="2">
        <f t="shared" si="15"/>
        <v>1</v>
      </c>
      <c r="D495" s="6" t="s">
        <v>1778</v>
      </c>
      <c r="E495" s="3" t="s">
        <v>1778</v>
      </c>
      <c r="F495" s="4" t="s">
        <v>58</v>
      </c>
      <c r="G495" s="3" t="s">
        <v>1009</v>
      </c>
      <c r="H495" s="3" t="s">
        <v>1010</v>
      </c>
      <c r="I495" s="3" t="s">
        <v>60</v>
      </c>
      <c r="J495" s="3" t="s">
        <v>61</v>
      </c>
      <c r="K495" s="3">
        <v>66617</v>
      </c>
      <c r="L495" s="3" t="s">
        <v>1011</v>
      </c>
      <c r="M495" s="3"/>
      <c r="N495" s="3"/>
      <c r="O495" s="3"/>
      <c r="P495" s="3"/>
      <c r="Q495" s="3" t="s">
        <v>67</v>
      </c>
      <c r="R495" s="3"/>
      <c r="S495" s="3" t="str">
        <f t="shared" si="18"/>
        <v>Nov 5</v>
      </c>
    </row>
    <row r="496" spans="1:19" ht="26.25" x14ac:dyDescent="0.25">
      <c r="A496" s="1">
        <v>40852</v>
      </c>
      <c r="B496" s="1">
        <v>40852</v>
      </c>
      <c r="C496" s="2">
        <f t="shared" si="15"/>
        <v>1</v>
      </c>
      <c r="D496" s="6" t="s">
        <v>1779</v>
      </c>
      <c r="E496" s="3" t="s">
        <v>847</v>
      </c>
      <c r="F496" s="4" t="s">
        <v>58</v>
      </c>
      <c r="G496" s="3" t="s">
        <v>1499</v>
      </c>
      <c r="H496" s="3"/>
      <c r="I496" s="3" t="s">
        <v>71</v>
      </c>
      <c r="J496" s="3" t="s">
        <v>61</v>
      </c>
      <c r="K496" s="3">
        <v>67203</v>
      </c>
      <c r="L496" s="3" t="s">
        <v>1500</v>
      </c>
      <c r="M496" s="3"/>
      <c r="N496" s="3"/>
      <c r="O496" s="3"/>
      <c r="P496" s="3" t="s">
        <v>1501</v>
      </c>
      <c r="Q496" s="3" t="s">
        <v>67</v>
      </c>
      <c r="R496" s="3"/>
      <c r="S496" s="3" t="str">
        <f t="shared" si="18"/>
        <v>Nov 5</v>
      </c>
    </row>
    <row r="497" spans="1:19" ht="26.25" x14ac:dyDescent="0.25">
      <c r="A497" s="1">
        <v>40852</v>
      </c>
      <c r="B497" s="1">
        <v>40852</v>
      </c>
      <c r="C497" s="2">
        <f t="shared" si="15"/>
        <v>1</v>
      </c>
      <c r="D497" s="6" t="s">
        <v>1780</v>
      </c>
      <c r="E497" s="3" t="s">
        <v>1781</v>
      </c>
      <c r="F497" s="4" t="s">
        <v>58</v>
      </c>
      <c r="G497" s="3" t="s">
        <v>1782</v>
      </c>
      <c r="H497" s="3" t="s">
        <v>1783</v>
      </c>
      <c r="I497" s="3" t="s">
        <v>1784</v>
      </c>
      <c r="J497" s="3" t="s">
        <v>61</v>
      </c>
      <c r="K497" s="3">
        <v>67543</v>
      </c>
      <c r="L497" s="3" t="s">
        <v>1785</v>
      </c>
      <c r="M497" s="3"/>
      <c r="N497" s="3"/>
      <c r="O497" s="3" t="s">
        <v>1786</v>
      </c>
      <c r="P497" s="3" t="s">
        <v>1787</v>
      </c>
      <c r="Q497" s="3" t="s">
        <v>67</v>
      </c>
      <c r="R497" s="3" t="s">
        <v>67</v>
      </c>
      <c r="S497" s="3" t="str">
        <f t="shared" si="18"/>
        <v>Nov 5</v>
      </c>
    </row>
    <row r="498" spans="1:19" ht="26.25" x14ac:dyDescent="0.25">
      <c r="A498" s="1">
        <v>40853</v>
      </c>
      <c r="B498" s="1">
        <v>40853</v>
      </c>
      <c r="C498" s="2">
        <f t="shared" si="15"/>
        <v>1</v>
      </c>
      <c r="D498" s="6" t="s">
        <v>1826</v>
      </c>
      <c r="E498" s="3" t="s">
        <v>1827</v>
      </c>
      <c r="F498" s="4" t="s">
        <v>58</v>
      </c>
      <c r="G498" s="3" t="s">
        <v>837</v>
      </c>
      <c r="H498" s="3"/>
      <c r="I498" s="3" t="s">
        <v>60</v>
      </c>
      <c r="J498" s="3" t="s">
        <v>61</v>
      </c>
      <c r="K498" s="3">
        <v>66603</v>
      </c>
      <c r="L498" s="3" t="s">
        <v>838</v>
      </c>
      <c r="M498" s="3" t="s">
        <v>813</v>
      </c>
      <c r="N498" s="3"/>
      <c r="O498" s="3"/>
      <c r="P498" s="3" t="s">
        <v>839</v>
      </c>
      <c r="Q498" s="3" t="s">
        <v>67</v>
      </c>
      <c r="R498" s="3" t="s">
        <v>67</v>
      </c>
      <c r="S498" s="3" t="str">
        <f>"Nov 6"</f>
        <v>Nov 6</v>
      </c>
    </row>
    <row r="499" spans="1:19" ht="26.25" x14ac:dyDescent="0.25">
      <c r="A499" s="1">
        <v>40853</v>
      </c>
      <c r="B499" s="1">
        <v>40853</v>
      </c>
      <c r="C499" s="2">
        <f t="shared" si="15"/>
        <v>1</v>
      </c>
      <c r="D499" s="6" t="s">
        <v>1828</v>
      </c>
      <c r="E499" s="3" t="s">
        <v>1829</v>
      </c>
      <c r="F499" s="4" t="s">
        <v>58</v>
      </c>
      <c r="G499" s="3" t="s">
        <v>1830</v>
      </c>
      <c r="H499" s="3" t="s">
        <v>1831</v>
      </c>
      <c r="I499" s="3" t="s">
        <v>1832</v>
      </c>
      <c r="J499" s="3" t="s">
        <v>61</v>
      </c>
      <c r="K499" s="3">
        <v>67601</v>
      </c>
      <c r="L499" s="3" t="s">
        <v>1833</v>
      </c>
      <c r="M499" s="3"/>
      <c r="N499" s="3"/>
      <c r="O499" s="3" t="s">
        <v>1834</v>
      </c>
      <c r="P499" s="3" t="s">
        <v>1835</v>
      </c>
      <c r="Q499" s="3"/>
      <c r="R499" s="3"/>
      <c r="S499" s="3" t="str">
        <f>"Nov 6"</f>
        <v>Nov 6</v>
      </c>
    </row>
    <row r="500" spans="1:19" ht="39" x14ac:dyDescent="0.25">
      <c r="A500" s="1">
        <v>40853</v>
      </c>
      <c r="B500" s="1">
        <v>40853</v>
      </c>
      <c r="C500" s="2">
        <f t="shared" si="15"/>
        <v>1</v>
      </c>
      <c r="D500" s="6" t="s">
        <v>1836</v>
      </c>
      <c r="E500" s="3" t="s">
        <v>1837</v>
      </c>
      <c r="F500" s="4" t="s">
        <v>58</v>
      </c>
      <c r="G500" s="3" t="s">
        <v>1327</v>
      </c>
      <c r="H500" s="3"/>
      <c r="I500" s="3" t="s">
        <v>60</v>
      </c>
      <c r="J500" s="3" t="s">
        <v>61</v>
      </c>
      <c r="K500" s="3">
        <v>66603</v>
      </c>
      <c r="L500" s="3" t="s">
        <v>1328</v>
      </c>
      <c r="M500" s="3"/>
      <c r="N500" s="3"/>
      <c r="O500" s="3"/>
      <c r="P500" s="3" t="s">
        <v>1329</v>
      </c>
      <c r="Q500" s="3" t="s">
        <v>67</v>
      </c>
      <c r="R500" s="3"/>
      <c r="S500" s="3" t="str">
        <f>"Nov 6"</f>
        <v>Nov 6</v>
      </c>
    </row>
    <row r="501" spans="1:19" x14ac:dyDescent="0.25">
      <c r="A501" s="1">
        <v>40853</v>
      </c>
      <c r="B501" s="1">
        <v>40853</v>
      </c>
      <c r="C501" s="2">
        <f t="shared" si="15"/>
        <v>1</v>
      </c>
      <c r="D501" s="6" t="s">
        <v>1838</v>
      </c>
      <c r="E501" s="3" t="s">
        <v>1839</v>
      </c>
      <c r="F501" s="4" t="s">
        <v>58</v>
      </c>
      <c r="G501" s="3" t="s">
        <v>619</v>
      </c>
      <c r="H501" s="3"/>
      <c r="I501" s="3" t="s">
        <v>303</v>
      </c>
      <c r="J501" s="3" t="s">
        <v>61</v>
      </c>
      <c r="K501" s="3">
        <v>66502</v>
      </c>
      <c r="L501" s="3" t="s">
        <v>621</v>
      </c>
      <c r="M501" s="3" t="s">
        <v>622</v>
      </c>
      <c r="N501" s="3"/>
      <c r="O501" s="3"/>
      <c r="P501" s="3" t="s">
        <v>1840</v>
      </c>
      <c r="Q501" s="3" t="s">
        <v>67</v>
      </c>
      <c r="R501" s="3" t="s">
        <v>67</v>
      </c>
      <c r="S501" s="3" t="str">
        <f>"Nov 6"</f>
        <v>Nov 6</v>
      </c>
    </row>
    <row r="502" spans="1:19" ht="26.25" x14ac:dyDescent="0.25">
      <c r="A502" s="1">
        <v>40855</v>
      </c>
      <c r="B502" s="1">
        <v>40855</v>
      </c>
      <c r="C502" s="2">
        <f t="shared" si="15"/>
        <v>1</v>
      </c>
      <c r="D502" s="6" t="s">
        <v>1841</v>
      </c>
      <c r="E502" s="3" t="s">
        <v>1842</v>
      </c>
      <c r="F502" s="4" t="s">
        <v>58</v>
      </c>
      <c r="G502" s="3" t="s">
        <v>781</v>
      </c>
      <c r="H502" s="3" t="s">
        <v>782</v>
      </c>
      <c r="I502" s="3" t="s">
        <v>236</v>
      </c>
      <c r="J502" s="3" t="s">
        <v>61</v>
      </c>
      <c r="K502" s="3">
        <v>67005</v>
      </c>
      <c r="L502" s="3" t="s">
        <v>783</v>
      </c>
      <c r="M502" s="3"/>
      <c r="N502" s="3"/>
      <c r="O502" s="3" t="s">
        <v>239</v>
      </c>
      <c r="P502" s="3" t="s">
        <v>240</v>
      </c>
      <c r="Q502" s="3" t="s">
        <v>67</v>
      </c>
      <c r="R502" s="3" t="s">
        <v>67</v>
      </c>
      <c r="S502" s="3" t="str">
        <f>"Nov 8"</f>
        <v>Nov 8</v>
      </c>
    </row>
    <row r="503" spans="1:19" ht="64.5" x14ac:dyDescent="0.25">
      <c r="A503" s="1">
        <v>40855</v>
      </c>
      <c r="B503" s="1">
        <v>40855</v>
      </c>
      <c r="C503" s="2">
        <f t="shared" si="15"/>
        <v>1</v>
      </c>
      <c r="D503" s="6" t="s">
        <v>1843</v>
      </c>
      <c r="E503" s="3" t="s">
        <v>759</v>
      </c>
      <c r="F503" s="4" t="s">
        <v>58</v>
      </c>
      <c r="G503" s="3" t="s">
        <v>1844</v>
      </c>
      <c r="H503" s="3" t="s">
        <v>1845</v>
      </c>
      <c r="I503" s="3" t="s">
        <v>34</v>
      </c>
      <c r="J503" s="3" t="s">
        <v>61</v>
      </c>
      <c r="K503" s="3" t="s">
        <v>1846</v>
      </c>
      <c r="L503" s="3" t="s">
        <v>1847</v>
      </c>
      <c r="M503" s="3"/>
      <c r="N503" s="3"/>
      <c r="O503" s="3"/>
      <c r="P503" s="3" t="s">
        <v>1848</v>
      </c>
      <c r="Q503" s="3"/>
      <c r="R503" s="3"/>
      <c r="S503" s="3" t="str">
        <f>"Nov 8"</f>
        <v>Nov 8</v>
      </c>
    </row>
    <row r="504" spans="1:19" ht="39" x14ac:dyDescent="0.25">
      <c r="A504" s="1">
        <v>40855</v>
      </c>
      <c r="B504" s="1">
        <v>40855</v>
      </c>
      <c r="C504" s="2">
        <f t="shared" si="15"/>
        <v>1</v>
      </c>
      <c r="D504" s="6" t="s">
        <v>1849</v>
      </c>
      <c r="E504" s="3" t="s">
        <v>1850</v>
      </c>
      <c r="F504" s="4" t="s">
        <v>58</v>
      </c>
      <c r="G504" s="3" t="s">
        <v>837</v>
      </c>
      <c r="H504" s="3"/>
      <c r="I504" s="3" t="s">
        <v>60</v>
      </c>
      <c r="J504" s="3" t="s">
        <v>61</v>
      </c>
      <c r="K504" s="3">
        <v>66603</v>
      </c>
      <c r="L504" s="3" t="s">
        <v>838</v>
      </c>
      <c r="M504" s="3"/>
      <c r="N504" s="3"/>
      <c r="O504" s="3"/>
      <c r="P504" s="3" t="s">
        <v>839</v>
      </c>
      <c r="Q504" s="3" t="s">
        <v>67</v>
      </c>
      <c r="R504" s="3" t="s">
        <v>67</v>
      </c>
      <c r="S504" s="3" t="str">
        <f>"Nov 8"</f>
        <v>Nov 8</v>
      </c>
    </row>
    <row r="505" spans="1:19" ht="26.25" x14ac:dyDescent="0.25">
      <c r="A505" s="1">
        <v>40856</v>
      </c>
      <c r="B505" s="1">
        <v>40856</v>
      </c>
      <c r="C505" s="2">
        <f t="shared" si="15"/>
        <v>1</v>
      </c>
      <c r="D505" s="6" t="s">
        <v>1851</v>
      </c>
      <c r="E505" s="3" t="s">
        <v>1852</v>
      </c>
      <c r="F505" s="4" t="s">
        <v>58</v>
      </c>
      <c r="G505" s="3" t="s">
        <v>1348</v>
      </c>
      <c r="H505" s="3"/>
      <c r="I505" s="3" t="s">
        <v>105</v>
      </c>
      <c r="J505" s="3" t="s">
        <v>61</v>
      </c>
      <c r="K505" s="3">
        <v>66046</v>
      </c>
      <c r="L505" s="3" t="s">
        <v>1349</v>
      </c>
      <c r="M505" s="3"/>
      <c r="N505" s="3"/>
      <c r="O505" s="3"/>
      <c r="P505" s="3" t="s">
        <v>1350</v>
      </c>
      <c r="Q505" s="3"/>
      <c r="R505" s="3"/>
      <c r="S505" s="3" t="str">
        <f>"Nov 9"</f>
        <v>Nov 9</v>
      </c>
    </row>
    <row r="506" spans="1:19" ht="26.25" x14ac:dyDescent="0.25">
      <c r="A506" s="1">
        <v>40856</v>
      </c>
      <c r="B506" s="1">
        <v>40856</v>
      </c>
      <c r="C506" s="2">
        <f t="shared" si="15"/>
        <v>1</v>
      </c>
      <c r="D506" s="6" t="s">
        <v>1853</v>
      </c>
      <c r="E506" s="3" t="s">
        <v>847</v>
      </c>
      <c r="F506" s="4" t="s">
        <v>58</v>
      </c>
      <c r="G506" s="3" t="s">
        <v>1499</v>
      </c>
      <c r="H506" s="3"/>
      <c r="I506" s="3" t="s">
        <v>71</v>
      </c>
      <c r="J506" s="3" t="s">
        <v>61</v>
      </c>
      <c r="K506" s="3">
        <v>67203</v>
      </c>
      <c r="L506" s="3" t="s">
        <v>1500</v>
      </c>
      <c r="M506" s="3"/>
      <c r="N506" s="3"/>
      <c r="O506" s="3"/>
      <c r="P506" s="3" t="s">
        <v>1501</v>
      </c>
      <c r="Q506" s="3" t="s">
        <v>67</v>
      </c>
      <c r="R506" s="3"/>
      <c r="S506" s="3" t="str">
        <f>"Nov 9"</f>
        <v>Nov 9</v>
      </c>
    </row>
    <row r="507" spans="1:19" ht="26.25" x14ac:dyDescent="0.25">
      <c r="A507" s="1">
        <v>40857</v>
      </c>
      <c r="B507" s="1">
        <v>40857</v>
      </c>
      <c r="C507" s="2">
        <f t="shared" si="15"/>
        <v>1</v>
      </c>
      <c r="D507" s="6" t="s">
        <v>1854</v>
      </c>
      <c r="E507" s="3" t="s">
        <v>1855</v>
      </c>
      <c r="F507" s="4" t="s">
        <v>58</v>
      </c>
      <c r="G507" s="3" t="s">
        <v>1856</v>
      </c>
      <c r="H507" s="3" t="s">
        <v>1857</v>
      </c>
      <c r="I507" s="3" t="s">
        <v>85</v>
      </c>
      <c r="J507" s="3" t="s">
        <v>61</v>
      </c>
      <c r="K507" s="3">
        <v>67501</v>
      </c>
      <c r="L507" s="3" t="s">
        <v>1858</v>
      </c>
      <c r="M507" s="3" t="s">
        <v>1859</v>
      </c>
      <c r="N507" s="3"/>
      <c r="O507" s="3" t="s">
        <v>1860</v>
      </c>
      <c r="P507" s="3" t="s">
        <v>1861</v>
      </c>
      <c r="Q507" s="3" t="s">
        <v>67</v>
      </c>
      <c r="R507" s="3" t="s">
        <v>67</v>
      </c>
      <c r="S507" s="3" t="str">
        <f>"Nov 10"</f>
        <v>Nov 10</v>
      </c>
    </row>
    <row r="508" spans="1:19" ht="39" x14ac:dyDescent="0.25">
      <c r="A508" s="1">
        <v>40857</v>
      </c>
      <c r="B508" s="1">
        <v>40857</v>
      </c>
      <c r="C508" s="2">
        <f t="shared" si="15"/>
        <v>1</v>
      </c>
      <c r="D508" s="6" t="s">
        <v>1862</v>
      </c>
      <c r="E508" s="3" t="s">
        <v>1863</v>
      </c>
      <c r="F508" s="4" t="s">
        <v>58</v>
      </c>
      <c r="G508" s="3" t="s">
        <v>1864</v>
      </c>
      <c r="H508" s="3" t="s">
        <v>1865</v>
      </c>
      <c r="I508" s="3" t="s">
        <v>1866</v>
      </c>
      <c r="J508" s="3" t="s">
        <v>61</v>
      </c>
      <c r="K508" s="3">
        <v>67104</v>
      </c>
      <c r="L508" s="3" t="s">
        <v>1867</v>
      </c>
      <c r="M508" s="3"/>
      <c r="N508" s="3"/>
      <c r="O508" s="3" t="s">
        <v>1868</v>
      </c>
      <c r="P508" s="3"/>
      <c r="Q508" s="3"/>
      <c r="R508" s="3"/>
      <c r="S508" s="3" t="str">
        <f>"Nov 10"</f>
        <v>Nov 10</v>
      </c>
    </row>
    <row r="509" spans="1:19" ht="26.25" x14ac:dyDescent="0.25">
      <c r="A509" s="1">
        <v>40858</v>
      </c>
      <c r="B509" s="1">
        <v>40858</v>
      </c>
      <c r="C509" s="2">
        <f t="shared" si="15"/>
        <v>1</v>
      </c>
      <c r="D509" s="6" t="s">
        <v>1838</v>
      </c>
      <c r="E509" s="3" t="s">
        <v>1872</v>
      </c>
      <c r="F509" s="4" t="s">
        <v>58</v>
      </c>
      <c r="G509" s="3" t="s">
        <v>619</v>
      </c>
      <c r="H509" s="3"/>
      <c r="I509" s="3" t="s">
        <v>303</v>
      </c>
      <c r="J509" s="3" t="s">
        <v>61</v>
      </c>
      <c r="K509" s="3">
        <v>66502</v>
      </c>
      <c r="L509" s="3" t="s">
        <v>621</v>
      </c>
      <c r="M509" s="3" t="s">
        <v>622</v>
      </c>
      <c r="N509" s="3"/>
      <c r="O509" s="3"/>
      <c r="P509" s="3" t="s">
        <v>1840</v>
      </c>
      <c r="Q509" s="3" t="s">
        <v>67</v>
      </c>
      <c r="R509" s="3" t="s">
        <v>67</v>
      </c>
      <c r="S509" s="3" t="str">
        <f t="shared" ref="S509:S516" si="19">"Nov 11"</f>
        <v>Nov 11</v>
      </c>
    </row>
    <row r="510" spans="1:19" ht="26.25" x14ac:dyDescent="0.25">
      <c r="A510" s="1">
        <v>40858</v>
      </c>
      <c r="B510" s="1">
        <v>40858</v>
      </c>
      <c r="C510" s="2">
        <f t="shared" si="15"/>
        <v>1</v>
      </c>
      <c r="D510" s="6" t="s">
        <v>1873</v>
      </c>
      <c r="E510" s="3" t="s">
        <v>1874</v>
      </c>
      <c r="F510" s="4" t="s">
        <v>58</v>
      </c>
      <c r="G510" s="3" t="s">
        <v>1200</v>
      </c>
      <c r="H510" s="3" t="s">
        <v>1550</v>
      </c>
      <c r="I510" s="3" t="s">
        <v>455</v>
      </c>
      <c r="J510" s="3" t="s">
        <v>61</v>
      </c>
      <c r="K510" s="3">
        <v>66441</v>
      </c>
      <c r="L510" s="3" t="s">
        <v>1202</v>
      </c>
      <c r="M510" s="3"/>
      <c r="N510" s="3"/>
      <c r="O510" s="3"/>
      <c r="P510" s="3" t="s">
        <v>1203</v>
      </c>
      <c r="Q510" s="3" t="s">
        <v>67</v>
      </c>
      <c r="R510" s="3" t="s">
        <v>67</v>
      </c>
      <c r="S510" s="3" t="str">
        <f t="shared" si="19"/>
        <v>Nov 11</v>
      </c>
    </row>
    <row r="511" spans="1:19" ht="39" x14ac:dyDescent="0.25">
      <c r="A511" s="1">
        <v>40858</v>
      </c>
      <c r="B511" s="1">
        <v>40858</v>
      </c>
      <c r="C511" s="2">
        <f t="shared" si="15"/>
        <v>1</v>
      </c>
      <c r="D511" s="6" t="s">
        <v>1875</v>
      </c>
      <c r="E511" s="3" t="s">
        <v>1876</v>
      </c>
      <c r="F511" s="4" t="s">
        <v>58</v>
      </c>
      <c r="G511" s="3" t="s">
        <v>1877</v>
      </c>
      <c r="H511" s="3"/>
      <c r="I511" s="3" t="s">
        <v>1878</v>
      </c>
      <c r="J511" s="3" t="s">
        <v>61</v>
      </c>
      <c r="K511" s="3">
        <v>67951</v>
      </c>
      <c r="L511" s="3" t="s">
        <v>1879</v>
      </c>
      <c r="M511" s="3"/>
      <c r="N511" s="3"/>
      <c r="O511" s="3"/>
      <c r="P511" s="3"/>
      <c r="Q511" s="3"/>
      <c r="R511" s="3"/>
      <c r="S511" s="3" t="str">
        <f t="shared" si="19"/>
        <v>Nov 11</v>
      </c>
    </row>
    <row r="512" spans="1:19" x14ac:dyDescent="0.25">
      <c r="A512" s="1">
        <v>40858</v>
      </c>
      <c r="B512" s="1">
        <v>40858</v>
      </c>
      <c r="C512" s="2">
        <f t="shared" si="15"/>
        <v>1</v>
      </c>
      <c r="D512" s="6" t="s">
        <v>1862</v>
      </c>
      <c r="E512" s="3" t="s">
        <v>1880</v>
      </c>
      <c r="F512" s="4" t="s">
        <v>58</v>
      </c>
      <c r="G512" s="3" t="s">
        <v>1881</v>
      </c>
      <c r="H512" s="3" t="s">
        <v>1882</v>
      </c>
      <c r="I512" s="3" t="s">
        <v>60</v>
      </c>
      <c r="J512" s="3" t="s">
        <v>61</v>
      </c>
      <c r="K512" s="3">
        <v>66608</v>
      </c>
      <c r="L512" s="3" t="s">
        <v>1883</v>
      </c>
      <c r="M512" s="3"/>
      <c r="N512" s="3"/>
      <c r="O512" s="3"/>
      <c r="P512" s="3" t="s">
        <v>1884</v>
      </c>
      <c r="Q512" s="3" t="s">
        <v>67</v>
      </c>
      <c r="R512" s="3" t="s">
        <v>67</v>
      </c>
      <c r="S512" s="3" t="str">
        <f t="shared" si="19"/>
        <v>Nov 11</v>
      </c>
    </row>
    <row r="513" spans="1:19" ht="39" x14ac:dyDescent="0.25">
      <c r="A513" s="1">
        <v>40858</v>
      </c>
      <c r="B513" s="1">
        <v>40858</v>
      </c>
      <c r="C513" s="2">
        <f t="shared" si="15"/>
        <v>1</v>
      </c>
      <c r="D513" s="6" t="s">
        <v>1885</v>
      </c>
      <c r="E513" s="3" t="s">
        <v>1886</v>
      </c>
      <c r="F513" s="4" t="s">
        <v>58</v>
      </c>
      <c r="G513" s="3" t="s">
        <v>1887</v>
      </c>
      <c r="H513" s="3"/>
      <c r="I513" s="3" t="s">
        <v>993</v>
      </c>
      <c r="J513" s="3" t="s">
        <v>61</v>
      </c>
      <c r="K513" s="3">
        <v>66048</v>
      </c>
      <c r="L513" s="3" t="s">
        <v>1888</v>
      </c>
      <c r="M513" s="3" t="s">
        <v>1889</v>
      </c>
      <c r="N513" s="3"/>
      <c r="O513" s="3" t="s">
        <v>1890</v>
      </c>
      <c r="P513" s="3" t="s">
        <v>1891</v>
      </c>
      <c r="Q513" s="3" t="s">
        <v>67</v>
      </c>
      <c r="R513" s="3"/>
      <c r="S513" s="3" t="str">
        <f t="shared" si="19"/>
        <v>Nov 11</v>
      </c>
    </row>
    <row r="514" spans="1:19" ht="26.25" x14ac:dyDescent="0.25">
      <c r="A514" s="1">
        <v>40858</v>
      </c>
      <c r="B514" s="1">
        <v>40858</v>
      </c>
      <c r="C514" s="2">
        <f t="shared" ref="C514:C577" si="20">(B514-A514)+1</f>
        <v>1</v>
      </c>
      <c r="D514" s="6" t="s">
        <v>1885</v>
      </c>
      <c r="E514" s="3" t="s">
        <v>1892</v>
      </c>
      <c r="F514" s="4" t="s">
        <v>58</v>
      </c>
      <c r="G514" s="3" t="s">
        <v>1893</v>
      </c>
      <c r="H514" s="3"/>
      <c r="I514" s="3" t="s">
        <v>993</v>
      </c>
      <c r="J514" s="3" t="s">
        <v>61</v>
      </c>
      <c r="K514" s="3">
        <v>66048</v>
      </c>
      <c r="L514" s="3" t="s">
        <v>1888</v>
      </c>
      <c r="M514" s="3"/>
      <c r="N514" s="3"/>
      <c r="O514" s="3" t="s">
        <v>1890</v>
      </c>
      <c r="P514" s="3" t="s">
        <v>1891</v>
      </c>
      <c r="Q514" s="3" t="s">
        <v>67</v>
      </c>
      <c r="R514" s="3"/>
      <c r="S514" s="3" t="str">
        <f t="shared" si="19"/>
        <v>Nov 11</v>
      </c>
    </row>
    <row r="515" spans="1:19" ht="39" x14ac:dyDescent="0.25">
      <c r="A515" s="1">
        <v>40858</v>
      </c>
      <c r="B515" s="1">
        <v>40858</v>
      </c>
      <c r="C515" s="2">
        <f t="shared" si="20"/>
        <v>1</v>
      </c>
      <c r="D515" s="6" t="s">
        <v>1894</v>
      </c>
      <c r="E515" s="3" t="s">
        <v>1895</v>
      </c>
      <c r="F515" s="4" t="s">
        <v>58</v>
      </c>
      <c r="G515" s="3" t="s">
        <v>777</v>
      </c>
      <c r="H515" s="3" t="s">
        <v>321</v>
      </c>
      <c r="I515" s="3" t="s">
        <v>227</v>
      </c>
      <c r="J515" s="3" t="s">
        <v>61</v>
      </c>
      <c r="K515" s="3">
        <v>67410</v>
      </c>
      <c r="L515" s="3" t="s">
        <v>228</v>
      </c>
      <c r="M515" s="3" t="s">
        <v>229</v>
      </c>
      <c r="N515" s="3"/>
      <c r="O515" s="3" t="s">
        <v>230</v>
      </c>
      <c r="P515" s="3" t="s">
        <v>231</v>
      </c>
      <c r="Q515" s="3" t="s">
        <v>67</v>
      </c>
      <c r="R515" s="3"/>
      <c r="S515" s="3" t="str">
        <f t="shared" si="19"/>
        <v>Nov 11</v>
      </c>
    </row>
    <row r="516" spans="1:19" ht="26.25" x14ac:dyDescent="0.25">
      <c r="A516" s="1">
        <v>40858</v>
      </c>
      <c r="B516" s="1">
        <v>40858</v>
      </c>
      <c r="C516" s="2">
        <f t="shared" si="20"/>
        <v>1</v>
      </c>
      <c r="D516" s="6" t="s">
        <v>1896</v>
      </c>
      <c r="E516" s="3" t="s">
        <v>1897</v>
      </c>
      <c r="F516" s="4" t="s">
        <v>58</v>
      </c>
      <c r="G516" s="3" t="s">
        <v>1898</v>
      </c>
      <c r="H516" s="3" t="s">
        <v>1899</v>
      </c>
      <c r="I516" s="3" t="s">
        <v>1606</v>
      </c>
      <c r="J516" s="3" t="s">
        <v>61</v>
      </c>
      <c r="K516" s="3">
        <v>66423</v>
      </c>
      <c r="L516" s="3" t="s">
        <v>1900</v>
      </c>
      <c r="M516" s="3"/>
      <c r="N516" s="3"/>
      <c r="O516" s="3" t="s">
        <v>1901</v>
      </c>
      <c r="P516" s="3" t="s">
        <v>1902</v>
      </c>
      <c r="Q516" s="3" t="s">
        <v>67</v>
      </c>
      <c r="R516" s="3"/>
      <c r="S516" s="3" t="str">
        <f t="shared" si="19"/>
        <v>Nov 11</v>
      </c>
    </row>
    <row r="517" spans="1:19" ht="39" x14ac:dyDescent="0.25">
      <c r="A517" s="1">
        <v>40859</v>
      </c>
      <c r="B517" s="1">
        <v>40859</v>
      </c>
      <c r="C517" s="2">
        <f t="shared" si="20"/>
        <v>1</v>
      </c>
      <c r="D517" s="6" t="s">
        <v>1920</v>
      </c>
      <c r="E517" s="3" t="s">
        <v>1921</v>
      </c>
      <c r="F517" s="4" t="s">
        <v>58</v>
      </c>
      <c r="G517" s="3" t="s">
        <v>1922</v>
      </c>
      <c r="H517" s="3" t="s">
        <v>1923</v>
      </c>
      <c r="I517" s="3" t="s">
        <v>303</v>
      </c>
      <c r="J517" s="3" t="s">
        <v>61</v>
      </c>
      <c r="K517" s="3">
        <v>66502</v>
      </c>
      <c r="L517" s="3" t="s">
        <v>1924</v>
      </c>
      <c r="M517" s="3"/>
      <c r="N517" s="3"/>
      <c r="O517" s="3" t="s">
        <v>1925</v>
      </c>
      <c r="P517" s="3" t="s">
        <v>1926</v>
      </c>
      <c r="Q517" s="3" t="s">
        <v>67</v>
      </c>
      <c r="R517" s="3" t="s">
        <v>67</v>
      </c>
      <c r="S517" s="3" t="str">
        <f t="shared" ref="S517:S525" si="21">"Nov 12"</f>
        <v>Nov 12</v>
      </c>
    </row>
    <row r="518" spans="1:19" ht="39" x14ac:dyDescent="0.25">
      <c r="A518" s="1">
        <v>40859</v>
      </c>
      <c r="B518" s="1">
        <v>40859</v>
      </c>
      <c r="C518" s="2">
        <f t="shared" si="20"/>
        <v>1</v>
      </c>
      <c r="D518" s="6" t="s">
        <v>1749</v>
      </c>
      <c r="E518" s="3" t="s">
        <v>1927</v>
      </c>
      <c r="F518" s="4" t="s">
        <v>58</v>
      </c>
      <c r="G518" s="3" t="s">
        <v>1928</v>
      </c>
      <c r="H518" s="3" t="s">
        <v>1929</v>
      </c>
      <c r="I518" s="3" t="s">
        <v>1866</v>
      </c>
      <c r="J518" s="3" t="s">
        <v>61</v>
      </c>
      <c r="K518" s="3">
        <v>67104</v>
      </c>
      <c r="L518" s="3" t="s">
        <v>1930</v>
      </c>
      <c r="M518" s="3"/>
      <c r="N518" s="3"/>
      <c r="O518" s="3" t="s">
        <v>1931</v>
      </c>
      <c r="P518" s="3"/>
      <c r="Q518" s="3" t="s">
        <v>67</v>
      </c>
      <c r="R518" s="3"/>
      <c r="S518" s="3" t="str">
        <f t="shared" si="21"/>
        <v>Nov 12</v>
      </c>
    </row>
    <row r="519" spans="1:19" ht="39" x14ac:dyDescent="0.25">
      <c r="A519" s="1">
        <v>40859</v>
      </c>
      <c r="B519" s="1">
        <v>40859</v>
      </c>
      <c r="C519" s="2">
        <f t="shared" si="20"/>
        <v>1</v>
      </c>
      <c r="D519" s="6" t="s">
        <v>1932</v>
      </c>
      <c r="E519" s="3" t="s">
        <v>1933</v>
      </c>
      <c r="F519" s="4" t="s">
        <v>58</v>
      </c>
      <c r="G519" s="3" t="s">
        <v>1163</v>
      </c>
      <c r="H519" s="3" t="s">
        <v>1164</v>
      </c>
      <c r="I519" s="3" t="s">
        <v>71</v>
      </c>
      <c r="J519" s="3" t="s">
        <v>61</v>
      </c>
      <c r="K519" s="3">
        <v>67202</v>
      </c>
      <c r="L519" s="3" t="s">
        <v>1036</v>
      </c>
      <c r="M519" s="3"/>
      <c r="N519" s="3"/>
      <c r="O519" s="3"/>
      <c r="P519" s="3" t="s">
        <v>1165</v>
      </c>
      <c r="Q519" s="3" t="s">
        <v>67</v>
      </c>
      <c r="R519" s="3" t="s">
        <v>67</v>
      </c>
      <c r="S519" s="3" t="str">
        <f t="shared" si="21"/>
        <v>Nov 12</v>
      </c>
    </row>
    <row r="520" spans="1:19" x14ac:dyDescent="0.25">
      <c r="A520" s="1">
        <v>40859</v>
      </c>
      <c r="B520" s="1">
        <v>40859</v>
      </c>
      <c r="C520" s="2">
        <f t="shared" si="20"/>
        <v>1</v>
      </c>
      <c r="D520" s="6" t="s">
        <v>1934</v>
      </c>
      <c r="E520" s="3" t="s">
        <v>1935</v>
      </c>
      <c r="F520" s="4" t="s">
        <v>58</v>
      </c>
      <c r="G520" s="3" t="s">
        <v>1936</v>
      </c>
      <c r="H520" s="3" t="s">
        <v>1937</v>
      </c>
      <c r="I520" s="3" t="s">
        <v>1938</v>
      </c>
      <c r="J520" s="3" t="s">
        <v>61</v>
      </c>
      <c r="K520" s="3">
        <v>67950</v>
      </c>
      <c r="L520" s="3" t="s">
        <v>1939</v>
      </c>
      <c r="M520" s="3"/>
      <c r="N520" s="3" t="s">
        <v>1940</v>
      </c>
      <c r="O520" s="3"/>
      <c r="P520" s="3"/>
      <c r="Q520" s="3" t="s">
        <v>67</v>
      </c>
      <c r="R520" s="3"/>
      <c r="S520" s="3" t="str">
        <f t="shared" si="21"/>
        <v>Nov 12</v>
      </c>
    </row>
    <row r="521" spans="1:19" ht="26.25" x14ac:dyDescent="0.25">
      <c r="A521" s="1">
        <v>40859</v>
      </c>
      <c r="B521" s="1">
        <v>40859</v>
      </c>
      <c r="C521" s="2">
        <f t="shared" si="20"/>
        <v>1</v>
      </c>
      <c r="D521" s="6" t="s">
        <v>1941</v>
      </c>
      <c r="E521" s="3" t="s">
        <v>1942</v>
      </c>
      <c r="F521" s="4" t="s">
        <v>58</v>
      </c>
      <c r="G521" s="3" t="s">
        <v>1943</v>
      </c>
      <c r="H521" s="3"/>
      <c r="I521" s="3" t="s">
        <v>77</v>
      </c>
      <c r="J521" s="3" t="s">
        <v>61</v>
      </c>
      <c r="K521" s="3">
        <v>66067</v>
      </c>
      <c r="L521" s="3" t="s">
        <v>1944</v>
      </c>
      <c r="M521" s="3"/>
      <c r="N521" s="3"/>
      <c r="O521" s="3"/>
      <c r="P521" s="3"/>
      <c r="Q521" s="3" t="s">
        <v>67</v>
      </c>
      <c r="R521" s="3"/>
      <c r="S521" s="3" t="str">
        <f t="shared" si="21"/>
        <v>Nov 12</v>
      </c>
    </row>
    <row r="522" spans="1:19" ht="26.25" x14ac:dyDescent="0.25">
      <c r="A522" s="1">
        <v>40859</v>
      </c>
      <c r="B522" s="1">
        <v>40859</v>
      </c>
      <c r="C522" s="2">
        <f t="shared" si="20"/>
        <v>1</v>
      </c>
      <c r="D522" s="6" t="s">
        <v>1945</v>
      </c>
      <c r="E522" s="3" t="s">
        <v>997</v>
      </c>
      <c r="F522" s="4" t="s">
        <v>58</v>
      </c>
      <c r="G522" s="3" t="s">
        <v>619</v>
      </c>
      <c r="H522" s="3" t="s">
        <v>620</v>
      </c>
      <c r="I522" s="3" t="s">
        <v>303</v>
      </c>
      <c r="J522" s="3" t="s">
        <v>61</v>
      </c>
      <c r="K522" s="3">
        <v>66502</v>
      </c>
      <c r="L522" s="3" t="s">
        <v>621</v>
      </c>
      <c r="M522" s="3" t="s">
        <v>622</v>
      </c>
      <c r="N522" s="3"/>
      <c r="O522" s="3" t="s">
        <v>623</v>
      </c>
      <c r="P522" s="3" t="s">
        <v>624</v>
      </c>
      <c r="Q522" s="3" t="s">
        <v>67</v>
      </c>
      <c r="R522" s="3" t="s">
        <v>67</v>
      </c>
      <c r="S522" s="3" t="str">
        <f t="shared" si="21"/>
        <v>Nov 12</v>
      </c>
    </row>
    <row r="523" spans="1:19" x14ac:dyDescent="0.25">
      <c r="A523" s="1">
        <v>40859</v>
      </c>
      <c r="B523" s="1">
        <v>40859</v>
      </c>
      <c r="C523" s="2">
        <f t="shared" si="20"/>
        <v>1</v>
      </c>
      <c r="D523" s="6" t="s">
        <v>1946</v>
      </c>
      <c r="E523" s="3" t="s">
        <v>1287</v>
      </c>
      <c r="F523" s="4" t="s">
        <v>58</v>
      </c>
      <c r="G523" s="3" t="s">
        <v>1288</v>
      </c>
      <c r="H523" s="3" t="s">
        <v>1289</v>
      </c>
      <c r="I523" s="3" t="s">
        <v>105</v>
      </c>
      <c r="J523" s="3" t="s">
        <v>61</v>
      </c>
      <c r="K523" s="3">
        <v>66045</v>
      </c>
      <c r="L523" s="3" t="s">
        <v>1290</v>
      </c>
      <c r="M523" s="3"/>
      <c r="N523" s="3"/>
      <c r="O523" s="3"/>
      <c r="P523" s="3" t="s">
        <v>1291</v>
      </c>
      <c r="Q523" s="3" t="s">
        <v>67</v>
      </c>
      <c r="R523" s="3" t="s">
        <v>67</v>
      </c>
      <c r="S523" s="3" t="str">
        <f t="shared" si="21"/>
        <v>Nov 12</v>
      </c>
    </row>
    <row r="524" spans="1:19" x14ac:dyDescent="0.25">
      <c r="A524" s="1">
        <v>40859</v>
      </c>
      <c r="B524" s="1">
        <v>40859</v>
      </c>
      <c r="C524" s="2">
        <f t="shared" si="20"/>
        <v>1</v>
      </c>
      <c r="D524" s="6" t="s">
        <v>1947</v>
      </c>
      <c r="E524" s="3" t="s">
        <v>1948</v>
      </c>
      <c r="F524" s="4" t="s">
        <v>58</v>
      </c>
      <c r="G524" s="3" t="s">
        <v>1949</v>
      </c>
      <c r="H524" s="3" t="s">
        <v>1950</v>
      </c>
      <c r="I524" s="3" t="s">
        <v>1951</v>
      </c>
      <c r="J524" s="3" t="s">
        <v>61</v>
      </c>
      <c r="K524" s="3">
        <v>67448</v>
      </c>
      <c r="L524" s="3" t="s">
        <v>1952</v>
      </c>
      <c r="M524" s="3"/>
      <c r="N524" s="3"/>
      <c r="O524" s="3" t="s">
        <v>1953</v>
      </c>
      <c r="P524" s="3"/>
      <c r="Q524" s="3" t="s">
        <v>67</v>
      </c>
      <c r="R524" s="3"/>
      <c r="S524" s="3" t="str">
        <f t="shared" si="21"/>
        <v>Nov 12</v>
      </c>
    </row>
    <row r="525" spans="1:19" ht="26.25" x14ac:dyDescent="0.25">
      <c r="A525" s="1">
        <v>40859</v>
      </c>
      <c r="B525" s="1">
        <v>40859</v>
      </c>
      <c r="C525" s="2">
        <f t="shared" si="20"/>
        <v>1</v>
      </c>
      <c r="D525" s="6" t="s">
        <v>1954</v>
      </c>
      <c r="E525" s="3" t="s">
        <v>1955</v>
      </c>
      <c r="F525" s="4" t="s">
        <v>58</v>
      </c>
      <c r="G525" s="3" t="s">
        <v>900</v>
      </c>
      <c r="H525" s="3" t="s">
        <v>901</v>
      </c>
      <c r="I525" s="3" t="s">
        <v>245</v>
      </c>
      <c r="J525" s="3" t="s">
        <v>61</v>
      </c>
      <c r="K525" s="3">
        <v>67401</v>
      </c>
      <c r="L525" s="3" t="s">
        <v>902</v>
      </c>
      <c r="M525" s="3"/>
      <c r="N525" s="3"/>
      <c r="O525" s="3" t="s">
        <v>1956</v>
      </c>
      <c r="P525" s="3" t="s">
        <v>905</v>
      </c>
      <c r="Q525" s="3"/>
      <c r="R525" s="3" t="s">
        <v>67</v>
      </c>
      <c r="S525" s="3" t="str">
        <f t="shared" si="21"/>
        <v>Nov 12</v>
      </c>
    </row>
    <row r="526" spans="1:19" x14ac:dyDescent="0.25">
      <c r="A526" s="1">
        <v>40860</v>
      </c>
      <c r="B526" s="1">
        <v>40860</v>
      </c>
      <c r="C526" s="2">
        <f t="shared" si="20"/>
        <v>1</v>
      </c>
      <c r="D526" s="6" t="s">
        <v>1959</v>
      </c>
      <c r="E526" s="3" t="s">
        <v>1959</v>
      </c>
      <c r="F526" s="4" t="s">
        <v>58</v>
      </c>
      <c r="G526" s="3" t="s">
        <v>1327</v>
      </c>
      <c r="H526" s="3"/>
      <c r="I526" s="3" t="s">
        <v>60</v>
      </c>
      <c r="J526" s="3" t="s">
        <v>61</v>
      </c>
      <c r="K526" s="3">
        <v>66603</v>
      </c>
      <c r="L526" s="3" t="s">
        <v>1328</v>
      </c>
      <c r="M526" s="3"/>
      <c r="N526" s="3"/>
      <c r="O526" s="3"/>
      <c r="P526" s="3" t="s">
        <v>1329</v>
      </c>
      <c r="Q526" s="3" t="s">
        <v>67</v>
      </c>
      <c r="R526" s="3" t="s">
        <v>67</v>
      </c>
      <c r="S526" s="3" t="str">
        <f>"Nov 13"</f>
        <v>Nov 13</v>
      </c>
    </row>
    <row r="527" spans="1:19" ht="26.25" x14ac:dyDescent="0.25">
      <c r="A527" s="1">
        <v>40860</v>
      </c>
      <c r="B527" s="1">
        <v>40860</v>
      </c>
      <c r="C527" s="2">
        <f t="shared" si="20"/>
        <v>1</v>
      </c>
      <c r="D527" s="6" t="s">
        <v>1960</v>
      </c>
      <c r="E527" s="3" t="s">
        <v>1961</v>
      </c>
      <c r="F527" s="4" t="s">
        <v>58</v>
      </c>
      <c r="G527" s="3" t="s">
        <v>1962</v>
      </c>
      <c r="H527" s="3"/>
      <c r="I527" s="3" t="s">
        <v>1963</v>
      </c>
      <c r="J527" s="3" t="s">
        <v>61</v>
      </c>
      <c r="K527" s="3">
        <v>66743</v>
      </c>
      <c r="L527" s="3" t="s">
        <v>1964</v>
      </c>
      <c r="M527" s="3" t="s">
        <v>1965</v>
      </c>
      <c r="N527" s="3" t="s">
        <v>1966</v>
      </c>
      <c r="O527" s="3" t="s">
        <v>1967</v>
      </c>
      <c r="P527" s="3" t="s">
        <v>1968</v>
      </c>
      <c r="Q527" s="3" t="s">
        <v>67</v>
      </c>
      <c r="R527" s="3" t="s">
        <v>67</v>
      </c>
      <c r="S527" s="3" t="str">
        <f>"Nov 13"</f>
        <v>Nov 13</v>
      </c>
    </row>
    <row r="528" spans="1:19" x14ac:dyDescent="0.25">
      <c r="A528" s="1">
        <v>40861</v>
      </c>
      <c r="B528" s="1">
        <v>40861</v>
      </c>
      <c r="C528" s="2">
        <f t="shared" si="20"/>
        <v>1</v>
      </c>
      <c r="D528" s="6" t="s">
        <v>1838</v>
      </c>
      <c r="E528" s="3" t="s">
        <v>1969</v>
      </c>
      <c r="F528" s="4" t="s">
        <v>58</v>
      </c>
      <c r="G528" s="3" t="s">
        <v>619</v>
      </c>
      <c r="H528" s="3"/>
      <c r="I528" s="3" t="s">
        <v>303</v>
      </c>
      <c r="J528" s="3" t="s">
        <v>61</v>
      </c>
      <c r="K528" s="3">
        <v>66502</v>
      </c>
      <c r="L528" s="3" t="s">
        <v>621</v>
      </c>
      <c r="M528" s="3" t="s">
        <v>622</v>
      </c>
      <c r="N528" s="3"/>
      <c r="O528" s="3"/>
      <c r="P528" s="3" t="s">
        <v>1840</v>
      </c>
      <c r="Q528" s="3" t="s">
        <v>67</v>
      </c>
      <c r="R528" s="3" t="s">
        <v>67</v>
      </c>
      <c r="S528" s="3" t="str">
        <f>"Nov 14"</f>
        <v>Nov 14</v>
      </c>
    </row>
    <row r="529" spans="1:19" ht="39" x14ac:dyDescent="0.25">
      <c r="A529" s="1">
        <v>40861</v>
      </c>
      <c r="B529" s="1">
        <v>40861</v>
      </c>
      <c r="C529" s="2">
        <f t="shared" si="20"/>
        <v>1</v>
      </c>
      <c r="D529" s="6" t="s">
        <v>1970</v>
      </c>
      <c r="E529" s="3" t="s">
        <v>759</v>
      </c>
      <c r="F529" s="4" t="s">
        <v>58</v>
      </c>
      <c r="G529" s="3" t="s">
        <v>760</v>
      </c>
      <c r="H529" s="3" t="s">
        <v>761</v>
      </c>
      <c r="I529" s="3" t="s">
        <v>448</v>
      </c>
      <c r="J529" s="3" t="s">
        <v>61</v>
      </c>
      <c r="K529" s="3">
        <v>67357</v>
      </c>
      <c r="L529" s="3" t="s">
        <v>762</v>
      </c>
      <c r="M529" s="3"/>
      <c r="N529" s="3"/>
      <c r="O529" s="3"/>
      <c r="P529" s="3"/>
      <c r="Q529" s="3"/>
      <c r="R529" s="3"/>
      <c r="S529" s="3" t="str">
        <f>"Nov 14"</f>
        <v>Nov 14</v>
      </c>
    </row>
    <row r="530" spans="1:19" ht="39" x14ac:dyDescent="0.25">
      <c r="A530" s="1">
        <v>40861</v>
      </c>
      <c r="B530" s="1">
        <v>40861</v>
      </c>
      <c r="C530" s="2">
        <f t="shared" si="20"/>
        <v>1</v>
      </c>
      <c r="D530" s="6" t="s">
        <v>1971</v>
      </c>
      <c r="E530" s="3" t="s">
        <v>759</v>
      </c>
      <c r="F530" s="4" t="s">
        <v>58</v>
      </c>
      <c r="G530" s="3" t="s">
        <v>1972</v>
      </c>
      <c r="H530" s="3" t="s">
        <v>1092</v>
      </c>
      <c r="I530" s="3" t="s">
        <v>963</v>
      </c>
      <c r="J530" s="3" t="s">
        <v>61</v>
      </c>
      <c r="K530" s="3" t="s">
        <v>1973</v>
      </c>
      <c r="L530" s="3" t="s">
        <v>1093</v>
      </c>
      <c r="M530" s="3"/>
      <c r="N530" s="3"/>
      <c r="O530" s="3"/>
      <c r="P530" s="3" t="s">
        <v>1096</v>
      </c>
      <c r="Q530" s="3"/>
      <c r="R530" s="3"/>
      <c r="S530" s="3" t="str">
        <f>"Nov 14"</f>
        <v>Nov 14</v>
      </c>
    </row>
    <row r="531" spans="1:19" ht="26.25" x14ac:dyDescent="0.25">
      <c r="A531" s="1">
        <v>40865</v>
      </c>
      <c r="B531" s="1">
        <v>40865</v>
      </c>
      <c r="C531" s="2">
        <f t="shared" si="20"/>
        <v>1</v>
      </c>
      <c r="D531" s="6" t="s">
        <v>1978</v>
      </c>
      <c r="E531" s="3" t="s">
        <v>1979</v>
      </c>
      <c r="F531" s="4" t="s">
        <v>58</v>
      </c>
      <c r="G531" s="3" t="s">
        <v>1642</v>
      </c>
      <c r="H531" s="3"/>
      <c r="I531" s="3" t="s">
        <v>165</v>
      </c>
      <c r="J531" s="3" t="s">
        <v>61</v>
      </c>
      <c r="K531" s="3">
        <v>66204</v>
      </c>
      <c r="L531" s="3" t="s">
        <v>1643</v>
      </c>
      <c r="M531" s="3"/>
      <c r="N531" s="3"/>
      <c r="O531" s="3"/>
      <c r="P531" s="3" t="s">
        <v>1644</v>
      </c>
      <c r="Q531" s="3" t="s">
        <v>67</v>
      </c>
      <c r="R531" s="3"/>
      <c r="S531" s="3" t="str">
        <f>"Nov 18"</f>
        <v>Nov 18</v>
      </c>
    </row>
    <row r="532" spans="1:19" ht="26.25" x14ac:dyDescent="0.25">
      <c r="A532" s="1">
        <v>40866</v>
      </c>
      <c r="B532" s="1">
        <v>40866</v>
      </c>
      <c r="C532" s="2">
        <f t="shared" si="20"/>
        <v>1</v>
      </c>
      <c r="D532" s="6" t="s">
        <v>1987</v>
      </c>
      <c r="E532" s="3" t="s">
        <v>1988</v>
      </c>
      <c r="F532" s="4" t="s">
        <v>58</v>
      </c>
      <c r="G532" s="3" t="s">
        <v>1989</v>
      </c>
      <c r="H532" s="3"/>
      <c r="I532" s="3" t="s">
        <v>85</v>
      </c>
      <c r="J532" s="3" t="s">
        <v>61</v>
      </c>
      <c r="K532" s="3">
        <v>67501</v>
      </c>
      <c r="L532" s="3" t="s">
        <v>1990</v>
      </c>
      <c r="M532" s="3"/>
      <c r="N532" s="3"/>
      <c r="O532" s="3"/>
      <c r="P532" s="3"/>
      <c r="Q532" s="3" t="s">
        <v>67</v>
      </c>
      <c r="R532" s="3"/>
      <c r="S532" s="3" t="str">
        <f t="shared" ref="S532:S543" si="22">"Nov 19"</f>
        <v>Nov 19</v>
      </c>
    </row>
    <row r="533" spans="1:19" ht="26.25" x14ac:dyDescent="0.25">
      <c r="A533" s="1">
        <v>40866</v>
      </c>
      <c r="B533" s="1">
        <v>40866</v>
      </c>
      <c r="C533" s="2">
        <f t="shared" si="20"/>
        <v>1</v>
      </c>
      <c r="D533" s="6" t="s">
        <v>1991</v>
      </c>
      <c r="E533" s="3" t="s">
        <v>1992</v>
      </c>
      <c r="F533" s="4" t="s">
        <v>58</v>
      </c>
      <c r="G533" s="3" t="s">
        <v>1993</v>
      </c>
      <c r="H533" s="3" t="s">
        <v>1994</v>
      </c>
      <c r="I533" s="3" t="s">
        <v>245</v>
      </c>
      <c r="J533" s="3" t="s">
        <v>61</v>
      </c>
      <c r="K533" s="3">
        <v>67401</v>
      </c>
      <c r="L533" s="3" t="s">
        <v>1531</v>
      </c>
      <c r="M533" s="3"/>
      <c r="N533" s="3"/>
      <c r="O533" s="3" t="s">
        <v>1532</v>
      </c>
      <c r="P533" s="3" t="s">
        <v>1995</v>
      </c>
      <c r="Q533" s="3" t="s">
        <v>67</v>
      </c>
      <c r="R533" s="3"/>
      <c r="S533" s="3" t="str">
        <f t="shared" si="22"/>
        <v>Nov 19</v>
      </c>
    </row>
    <row r="534" spans="1:19" ht="39" x14ac:dyDescent="0.25">
      <c r="A534" s="1">
        <v>40866</v>
      </c>
      <c r="B534" s="1">
        <v>40866</v>
      </c>
      <c r="C534" s="2">
        <f t="shared" si="20"/>
        <v>1</v>
      </c>
      <c r="D534" s="6" t="s">
        <v>1996</v>
      </c>
      <c r="E534" s="3" t="s">
        <v>1997</v>
      </c>
      <c r="F534" s="4" t="s">
        <v>58</v>
      </c>
      <c r="G534" s="3" t="s">
        <v>1145</v>
      </c>
      <c r="H534" s="3" t="s">
        <v>1998</v>
      </c>
      <c r="I534" s="3" t="s">
        <v>865</v>
      </c>
      <c r="J534" s="3" t="s">
        <v>61</v>
      </c>
      <c r="K534" s="3">
        <v>67601</v>
      </c>
      <c r="L534" s="3" t="s">
        <v>1999</v>
      </c>
      <c r="M534" s="3"/>
      <c r="N534" s="3" t="s">
        <v>2000</v>
      </c>
      <c r="O534" s="3" t="s">
        <v>2001</v>
      </c>
      <c r="P534" s="3" t="s">
        <v>2002</v>
      </c>
      <c r="Q534" s="3" t="s">
        <v>67</v>
      </c>
      <c r="R534" s="3" t="s">
        <v>67</v>
      </c>
      <c r="S534" s="3" t="str">
        <f t="shared" si="22"/>
        <v>Nov 19</v>
      </c>
    </row>
    <row r="535" spans="1:19" ht="26.25" x14ac:dyDescent="0.25">
      <c r="A535" s="1">
        <v>40866</v>
      </c>
      <c r="B535" s="1">
        <v>40866</v>
      </c>
      <c r="C535" s="2">
        <f t="shared" si="20"/>
        <v>1</v>
      </c>
      <c r="D535" s="6" t="s">
        <v>1942</v>
      </c>
      <c r="E535" s="3" t="s">
        <v>2003</v>
      </c>
      <c r="F535" s="4" t="s">
        <v>58</v>
      </c>
      <c r="G535" s="3" t="s">
        <v>2004</v>
      </c>
      <c r="H535" s="3" t="s">
        <v>235</v>
      </c>
      <c r="I535" s="3" t="s">
        <v>236</v>
      </c>
      <c r="J535" s="3" t="s">
        <v>61</v>
      </c>
      <c r="K535" s="3">
        <v>67005</v>
      </c>
      <c r="L535" s="3" t="s">
        <v>237</v>
      </c>
      <c r="M535" s="3"/>
      <c r="N535" s="3"/>
      <c r="O535" s="3" t="s">
        <v>239</v>
      </c>
      <c r="P535" s="3" t="s">
        <v>240</v>
      </c>
      <c r="Q535" s="3" t="s">
        <v>67</v>
      </c>
      <c r="R535" s="3" t="s">
        <v>67</v>
      </c>
      <c r="S535" s="3" t="str">
        <f t="shared" si="22"/>
        <v>Nov 19</v>
      </c>
    </row>
    <row r="536" spans="1:19" ht="26.25" x14ac:dyDescent="0.25">
      <c r="A536" s="1">
        <v>40866</v>
      </c>
      <c r="B536" s="1">
        <v>40866</v>
      </c>
      <c r="C536" s="2">
        <f t="shared" si="20"/>
        <v>1</v>
      </c>
      <c r="D536" s="6" t="s">
        <v>2005</v>
      </c>
      <c r="E536" s="3" t="s">
        <v>2006</v>
      </c>
      <c r="F536" s="4" t="s">
        <v>58</v>
      </c>
      <c r="G536" s="3" t="s">
        <v>1348</v>
      </c>
      <c r="H536" s="3" t="s">
        <v>2007</v>
      </c>
      <c r="I536" s="3" t="s">
        <v>105</v>
      </c>
      <c r="J536" s="3" t="s">
        <v>61</v>
      </c>
      <c r="K536" s="3">
        <v>66046</v>
      </c>
      <c r="L536" s="3" t="s">
        <v>1349</v>
      </c>
      <c r="M536" s="3"/>
      <c r="N536" s="3"/>
      <c r="O536" s="3"/>
      <c r="P536" s="3" t="s">
        <v>1350</v>
      </c>
      <c r="Q536" s="3" t="s">
        <v>67</v>
      </c>
      <c r="R536" s="3" t="s">
        <v>67</v>
      </c>
      <c r="S536" s="3" t="str">
        <f t="shared" si="22"/>
        <v>Nov 19</v>
      </c>
    </row>
    <row r="537" spans="1:19" ht="51.75" x14ac:dyDescent="0.25">
      <c r="A537" s="1">
        <v>40866</v>
      </c>
      <c r="B537" s="1">
        <v>40866</v>
      </c>
      <c r="C537" s="2">
        <f t="shared" si="20"/>
        <v>1</v>
      </c>
      <c r="D537" s="6" t="s">
        <v>2008</v>
      </c>
      <c r="E537" s="3" t="s">
        <v>759</v>
      </c>
      <c r="F537" s="4" t="s">
        <v>58</v>
      </c>
      <c r="G537" s="3" t="s">
        <v>2009</v>
      </c>
      <c r="H537" s="3" t="s">
        <v>2010</v>
      </c>
      <c r="I537" s="3" t="s">
        <v>806</v>
      </c>
      <c r="J537" s="3" t="s">
        <v>61</v>
      </c>
      <c r="K537" s="3">
        <v>67219</v>
      </c>
      <c r="L537" s="3" t="s">
        <v>2011</v>
      </c>
      <c r="M537" s="3"/>
      <c r="N537" s="3"/>
      <c r="O537" s="3"/>
      <c r="P537" s="3"/>
      <c r="Q537" s="3"/>
      <c r="R537" s="3"/>
      <c r="S537" s="3" t="str">
        <f t="shared" si="22"/>
        <v>Nov 19</v>
      </c>
    </row>
    <row r="538" spans="1:19" ht="26.25" x14ac:dyDescent="0.25">
      <c r="A538" s="1">
        <v>40866</v>
      </c>
      <c r="B538" s="1">
        <v>40866</v>
      </c>
      <c r="C538" s="2">
        <f t="shared" si="20"/>
        <v>1</v>
      </c>
      <c r="D538" s="6" t="s">
        <v>2012</v>
      </c>
      <c r="E538" s="3" t="s">
        <v>2013</v>
      </c>
      <c r="F538" s="4" t="s">
        <v>58</v>
      </c>
      <c r="G538" s="3" t="s">
        <v>1790</v>
      </c>
      <c r="H538" s="3" t="s">
        <v>1791</v>
      </c>
      <c r="I538" s="3" t="s">
        <v>1021</v>
      </c>
      <c r="J538" s="3" t="s">
        <v>61</v>
      </c>
      <c r="K538" s="3">
        <v>67901</v>
      </c>
      <c r="L538" s="3" t="s">
        <v>1792</v>
      </c>
      <c r="M538" s="3"/>
      <c r="N538" s="3" t="s">
        <v>1793</v>
      </c>
      <c r="O538" s="3" t="s">
        <v>1794</v>
      </c>
      <c r="P538" s="3" t="s">
        <v>1795</v>
      </c>
      <c r="Q538" s="3" t="s">
        <v>67</v>
      </c>
      <c r="R538" s="3" t="s">
        <v>67</v>
      </c>
      <c r="S538" s="3" t="str">
        <f t="shared" si="22"/>
        <v>Nov 19</v>
      </c>
    </row>
    <row r="539" spans="1:19" ht="26.25" x14ac:dyDescent="0.25">
      <c r="A539" s="1">
        <v>40866</v>
      </c>
      <c r="B539" s="1">
        <v>40866</v>
      </c>
      <c r="C539" s="2">
        <f t="shared" si="20"/>
        <v>1</v>
      </c>
      <c r="D539" s="6" t="s">
        <v>2014</v>
      </c>
      <c r="E539" s="3" t="s">
        <v>2015</v>
      </c>
      <c r="F539" s="4" t="s">
        <v>58</v>
      </c>
      <c r="G539" s="3" t="s">
        <v>2016</v>
      </c>
      <c r="H539" s="3" t="s">
        <v>2017</v>
      </c>
      <c r="I539" s="3" t="s">
        <v>2018</v>
      </c>
      <c r="J539" s="3" t="s">
        <v>61</v>
      </c>
      <c r="K539" s="3">
        <v>67735</v>
      </c>
      <c r="L539" s="3" t="s">
        <v>2019</v>
      </c>
      <c r="M539" s="3" t="s">
        <v>2020</v>
      </c>
      <c r="N539" s="3"/>
      <c r="O539" s="3" t="s">
        <v>2021</v>
      </c>
      <c r="P539" s="3" t="s">
        <v>2022</v>
      </c>
      <c r="Q539" s="3" t="s">
        <v>67</v>
      </c>
      <c r="R539" s="3"/>
      <c r="S539" s="3" t="str">
        <f t="shared" si="22"/>
        <v>Nov 19</v>
      </c>
    </row>
    <row r="540" spans="1:19" ht="26.25" x14ac:dyDescent="0.25">
      <c r="A540" s="1">
        <v>40866</v>
      </c>
      <c r="B540" s="1">
        <v>40866</v>
      </c>
      <c r="C540" s="2">
        <f t="shared" si="20"/>
        <v>1</v>
      </c>
      <c r="D540" s="6" t="s">
        <v>2023</v>
      </c>
      <c r="E540" s="3" t="s">
        <v>2024</v>
      </c>
      <c r="F540" s="4" t="s">
        <v>58</v>
      </c>
      <c r="G540" s="3" t="s">
        <v>2025</v>
      </c>
      <c r="H540" s="3" t="s">
        <v>2026</v>
      </c>
      <c r="I540" s="3" t="s">
        <v>245</v>
      </c>
      <c r="J540" s="3" t="s">
        <v>61</v>
      </c>
      <c r="K540" s="3">
        <v>67401</v>
      </c>
      <c r="L540" s="3" t="s">
        <v>1531</v>
      </c>
      <c r="M540" s="3"/>
      <c r="N540" s="3"/>
      <c r="O540" s="3"/>
      <c r="P540" s="3" t="s">
        <v>1995</v>
      </c>
      <c r="Q540" s="3" t="s">
        <v>67</v>
      </c>
      <c r="R540" s="3"/>
      <c r="S540" s="3" t="str">
        <f t="shared" si="22"/>
        <v>Nov 19</v>
      </c>
    </row>
    <row r="541" spans="1:19" x14ac:dyDescent="0.25">
      <c r="A541" s="1">
        <v>40866</v>
      </c>
      <c r="B541" s="1">
        <v>40866</v>
      </c>
      <c r="C541" s="2">
        <f t="shared" si="20"/>
        <v>1</v>
      </c>
      <c r="D541" s="6" t="s">
        <v>2027</v>
      </c>
      <c r="E541" s="3" t="s">
        <v>2028</v>
      </c>
      <c r="F541" s="4" t="s">
        <v>58</v>
      </c>
      <c r="G541" s="3" t="s">
        <v>479</v>
      </c>
      <c r="H541" s="3" t="s">
        <v>480</v>
      </c>
      <c r="I541" s="3" t="s">
        <v>245</v>
      </c>
      <c r="J541" s="3" t="s">
        <v>61</v>
      </c>
      <c r="K541" s="3">
        <v>67401</v>
      </c>
      <c r="L541" s="3" t="s">
        <v>2029</v>
      </c>
      <c r="M541" s="3"/>
      <c r="N541" s="3"/>
      <c r="O541" s="3" t="s">
        <v>2030</v>
      </c>
      <c r="P541" s="3"/>
      <c r="Q541" s="3" t="s">
        <v>67</v>
      </c>
      <c r="R541" s="3" t="s">
        <v>67</v>
      </c>
      <c r="S541" s="3" t="str">
        <f t="shared" si="22"/>
        <v>Nov 19</v>
      </c>
    </row>
    <row r="542" spans="1:19" ht="39" x14ac:dyDescent="0.25">
      <c r="A542" s="1">
        <v>40866</v>
      </c>
      <c r="B542" s="1">
        <v>40866</v>
      </c>
      <c r="C542" s="2">
        <f t="shared" si="20"/>
        <v>1</v>
      </c>
      <c r="D542" s="6" t="s">
        <v>2031</v>
      </c>
      <c r="E542" s="3" t="s">
        <v>759</v>
      </c>
      <c r="F542" s="4" t="s">
        <v>58</v>
      </c>
      <c r="G542" s="3" t="s">
        <v>2032</v>
      </c>
      <c r="H542" s="3" t="s">
        <v>2033</v>
      </c>
      <c r="I542" s="3" t="s">
        <v>71</v>
      </c>
      <c r="J542" s="3" t="s">
        <v>61</v>
      </c>
      <c r="K542" s="3" t="s">
        <v>2034</v>
      </c>
      <c r="L542" s="3" t="s">
        <v>2035</v>
      </c>
      <c r="M542" s="3"/>
      <c r="N542" s="3"/>
      <c r="O542" s="3"/>
      <c r="P542" s="3"/>
      <c r="Q542" s="3"/>
      <c r="R542" s="3"/>
      <c r="S542" s="3" t="str">
        <f t="shared" si="22"/>
        <v>Nov 19</v>
      </c>
    </row>
    <row r="543" spans="1:19" x14ac:dyDescent="0.25">
      <c r="A543" s="1">
        <v>40866</v>
      </c>
      <c r="B543" s="1">
        <v>40866</v>
      </c>
      <c r="C543" s="2">
        <f t="shared" si="20"/>
        <v>1</v>
      </c>
      <c r="D543" s="6" t="s">
        <v>2036</v>
      </c>
      <c r="E543" s="3" t="s">
        <v>2015</v>
      </c>
      <c r="F543" s="4" t="s">
        <v>58</v>
      </c>
      <c r="G543" s="3" t="s">
        <v>2037</v>
      </c>
      <c r="H543" s="3"/>
      <c r="I543" s="3" t="s">
        <v>2018</v>
      </c>
      <c r="J543" s="3" t="s">
        <v>61</v>
      </c>
      <c r="K543" s="3">
        <v>67735</v>
      </c>
      <c r="L543" s="3" t="s">
        <v>2038</v>
      </c>
      <c r="M543" s="3"/>
      <c r="N543" s="3"/>
      <c r="O543" s="3"/>
      <c r="P543" s="3"/>
      <c r="Q543" s="3" t="s">
        <v>67</v>
      </c>
      <c r="R543" s="3"/>
      <c r="S543" s="3" t="str">
        <f t="shared" si="22"/>
        <v>Nov 19</v>
      </c>
    </row>
    <row r="544" spans="1:19" ht="26.25" x14ac:dyDescent="0.25">
      <c r="A544" s="1">
        <v>40867</v>
      </c>
      <c r="B544" s="1">
        <v>40867</v>
      </c>
      <c r="C544" s="2">
        <f t="shared" si="20"/>
        <v>1</v>
      </c>
      <c r="D544" s="6" t="s">
        <v>2051</v>
      </c>
      <c r="E544" s="3" t="s">
        <v>2052</v>
      </c>
      <c r="F544" s="4" t="s">
        <v>58</v>
      </c>
      <c r="G544" s="3" t="s">
        <v>2053</v>
      </c>
      <c r="H544" s="3" t="s">
        <v>2054</v>
      </c>
      <c r="I544" s="3" t="s">
        <v>105</v>
      </c>
      <c r="J544" s="3" t="s">
        <v>61</v>
      </c>
      <c r="K544" s="3">
        <v>66044</v>
      </c>
      <c r="L544" s="3" t="s">
        <v>2055</v>
      </c>
      <c r="M544" s="3"/>
      <c r="N544" s="3"/>
      <c r="O544" s="3"/>
      <c r="P544" s="3"/>
      <c r="Q544" s="3" t="s">
        <v>67</v>
      </c>
      <c r="R544" s="3"/>
      <c r="S544" s="3" t="str">
        <f>"Nov 20"</f>
        <v>Nov 20</v>
      </c>
    </row>
    <row r="545" spans="1:19" ht="26.25" x14ac:dyDescent="0.25">
      <c r="A545" s="1">
        <v>40867</v>
      </c>
      <c r="B545" s="1">
        <v>40867</v>
      </c>
      <c r="C545" s="2">
        <f t="shared" si="20"/>
        <v>1</v>
      </c>
      <c r="D545" s="6" t="s">
        <v>2056</v>
      </c>
      <c r="E545" s="3" t="s">
        <v>2057</v>
      </c>
      <c r="F545" s="4" t="s">
        <v>58</v>
      </c>
      <c r="G545" s="3" t="s">
        <v>1091</v>
      </c>
      <c r="H545" s="3"/>
      <c r="I545" s="3" t="s">
        <v>963</v>
      </c>
      <c r="J545" s="3" t="s">
        <v>61</v>
      </c>
      <c r="K545" s="3">
        <v>67550</v>
      </c>
      <c r="L545" s="3" t="s">
        <v>1093</v>
      </c>
      <c r="M545" s="3"/>
      <c r="N545" s="3"/>
      <c r="O545" s="3" t="s">
        <v>1336</v>
      </c>
      <c r="P545" s="3" t="s">
        <v>1096</v>
      </c>
      <c r="Q545" s="3" t="s">
        <v>67</v>
      </c>
      <c r="R545" s="3"/>
      <c r="S545" s="3" t="str">
        <f>"Nov 20"</f>
        <v>Nov 20</v>
      </c>
    </row>
    <row r="546" spans="1:19" ht="26.25" x14ac:dyDescent="0.25">
      <c r="A546" s="1">
        <v>40867</v>
      </c>
      <c r="B546" s="1">
        <v>40867</v>
      </c>
      <c r="C546" s="2">
        <f t="shared" si="20"/>
        <v>1</v>
      </c>
      <c r="D546" s="6" t="s">
        <v>1343</v>
      </c>
      <c r="E546" s="3" t="s">
        <v>2058</v>
      </c>
      <c r="F546" s="4" t="s">
        <v>58</v>
      </c>
      <c r="G546" s="3" t="s">
        <v>537</v>
      </c>
      <c r="H546" s="3" t="s">
        <v>538</v>
      </c>
      <c r="I546" s="3" t="s">
        <v>227</v>
      </c>
      <c r="J546" s="3" t="s">
        <v>61</v>
      </c>
      <c r="K546" s="3">
        <v>67410</v>
      </c>
      <c r="L546" s="3" t="s">
        <v>539</v>
      </c>
      <c r="M546" s="3"/>
      <c r="N546" s="3"/>
      <c r="O546" s="3" t="s">
        <v>1344</v>
      </c>
      <c r="P546" s="3" t="s">
        <v>1345</v>
      </c>
      <c r="Q546" s="3" t="s">
        <v>67</v>
      </c>
      <c r="R546" s="3"/>
      <c r="S546" s="3" t="str">
        <f>"Nov 20"</f>
        <v>Nov 20</v>
      </c>
    </row>
    <row r="547" spans="1:19" ht="26.25" x14ac:dyDescent="0.25">
      <c r="A547" s="1">
        <v>40867</v>
      </c>
      <c r="B547" s="1">
        <v>40867</v>
      </c>
      <c r="C547" s="2">
        <f t="shared" si="20"/>
        <v>1</v>
      </c>
      <c r="D547" s="6" t="s">
        <v>2059</v>
      </c>
      <c r="E547" s="3" t="s">
        <v>2060</v>
      </c>
      <c r="F547" s="4" t="s">
        <v>58</v>
      </c>
      <c r="G547" s="3" t="s">
        <v>2061</v>
      </c>
      <c r="H547" s="3"/>
      <c r="I547" s="3" t="s">
        <v>85</v>
      </c>
      <c r="J547" s="3" t="s">
        <v>61</v>
      </c>
      <c r="K547" s="3">
        <v>67501</v>
      </c>
      <c r="L547" s="3" t="s">
        <v>2062</v>
      </c>
      <c r="M547" s="3"/>
      <c r="N547" s="3"/>
      <c r="O547" s="3"/>
      <c r="P547" s="3"/>
      <c r="Q547" s="3"/>
      <c r="R547" s="3"/>
      <c r="S547" s="3" t="str">
        <f>"Nov 20"</f>
        <v>Nov 20</v>
      </c>
    </row>
    <row r="548" spans="1:19" ht="26.25" x14ac:dyDescent="0.25">
      <c r="A548" s="1">
        <v>40867</v>
      </c>
      <c r="B548" s="1">
        <v>40867</v>
      </c>
      <c r="C548" s="2">
        <f t="shared" si="20"/>
        <v>1</v>
      </c>
      <c r="D548" s="6" t="s">
        <v>2063</v>
      </c>
      <c r="E548" s="3" t="s">
        <v>2064</v>
      </c>
      <c r="F548" s="4" t="s">
        <v>58</v>
      </c>
      <c r="G548" s="3" t="s">
        <v>2065</v>
      </c>
      <c r="H548" s="3"/>
      <c r="I548" s="3" t="s">
        <v>2066</v>
      </c>
      <c r="J548" s="3" t="s">
        <v>61</v>
      </c>
      <c r="K548" s="3">
        <v>67665</v>
      </c>
      <c r="L548" s="3" t="s">
        <v>2067</v>
      </c>
      <c r="M548" s="3" t="s">
        <v>2068</v>
      </c>
      <c r="N548" s="3"/>
      <c r="O548" s="3" t="s">
        <v>2069</v>
      </c>
      <c r="P548" s="3"/>
      <c r="Q548" s="3" t="s">
        <v>67</v>
      </c>
      <c r="R548" s="3" t="s">
        <v>67</v>
      </c>
      <c r="S548" s="3" t="str">
        <f>"Nov 20"</f>
        <v>Nov 20</v>
      </c>
    </row>
    <row r="549" spans="1:19" ht="26.25" x14ac:dyDescent="0.25">
      <c r="A549" s="1">
        <v>40869</v>
      </c>
      <c r="B549" s="1">
        <v>40869</v>
      </c>
      <c r="C549" s="2">
        <f t="shared" si="20"/>
        <v>1</v>
      </c>
      <c r="D549" s="6" t="s">
        <v>2074</v>
      </c>
      <c r="E549" s="3" t="s">
        <v>2075</v>
      </c>
      <c r="F549" s="4" t="s">
        <v>58</v>
      </c>
      <c r="G549" s="3" t="s">
        <v>2076</v>
      </c>
      <c r="H549" s="3"/>
      <c r="I549" s="3" t="s">
        <v>1768</v>
      </c>
      <c r="J549" s="3" t="s">
        <v>61</v>
      </c>
      <c r="K549" s="3">
        <v>67455</v>
      </c>
      <c r="L549" s="3" t="s">
        <v>2077</v>
      </c>
      <c r="M549" s="3"/>
      <c r="N549" s="3"/>
      <c r="O549" s="3" t="s">
        <v>2078</v>
      </c>
      <c r="P549" s="3" t="s">
        <v>2079</v>
      </c>
      <c r="Q549" s="3" t="s">
        <v>67</v>
      </c>
      <c r="R549" s="3" t="s">
        <v>67</v>
      </c>
      <c r="S549" s="3" t="str">
        <f>"Nov 22"</f>
        <v>Nov 22</v>
      </c>
    </row>
    <row r="550" spans="1:19" x14ac:dyDescent="0.25">
      <c r="A550" s="1">
        <v>40869</v>
      </c>
      <c r="B550" s="1">
        <v>40869</v>
      </c>
      <c r="C550" s="2">
        <f t="shared" si="20"/>
        <v>1</v>
      </c>
      <c r="D550" s="6" t="s">
        <v>1838</v>
      </c>
      <c r="E550" s="3" t="s">
        <v>618</v>
      </c>
      <c r="F550" s="4" t="s">
        <v>58</v>
      </c>
      <c r="G550" s="3" t="s">
        <v>619</v>
      </c>
      <c r="H550" s="3" t="s">
        <v>2080</v>
      </c>
      <c r="I550" s="3" t="s">
        <v>303</v>
      </c>
      <c r="J550" s="3" t="s">
        <v>61</v>
      </c>
      <c r="K550" s="3">
        <v>66502</v>
      </c>
      <c r="L550" s="3" t="s">
        <v>621</v>
      </c>
      <c r="M550" s="3" t="s">
        <v>622</v>
      </c>
      <c r="N550" s="3"/>
      <c r="O550" s="3"/>
      <c r="P550" s="3" t="s">
        <v>1840</v>
      </c>
      <c r="Q550" s="3" t="s">
        <v>67</v>
      </c>
      <c r="R550" s="3" t="s">
        <v>67</v>
      </c>
      <c r="S550" s="3" t="str">
        <f>"Nov 22"</f>
        <v>Nov 22</v>
      </c>
    </row>
    <row r="551" spans="1:19" ht="39" x14ac:dyDescent="0.25">
      <c r="A551" s="1">
        <v>40872</v>
      </c>
      <c r="B551" s="1">
        <v>40872</v>
      </c>
      <c r="C551" s="2">
        <f t="shared" si="20"/>
        <v>1</v>
      </c>
      <c r="D551" s="6" t="s">
        <v>2086</v>
      </c>
      <c r="E551" s="3" t="s">
        <v>2087</v>
      </c>
      <c r="F551" s="4" t="s">
        <v>58</v>
      </c>
      <c r="G551" s="3" t="s">
        <v>1246</v>
      </c>
      <c r="H551" s="3" t="s">
        <v>215</v>
      </c>
      <c r="I551" s="3" t="s">
        <v>1247</v>
      </c>
      <c r="J551" s="3" t="s">
        <v>61</v>
      </c>
      <c r="K551" s="3">
        <v>66935</v>
      </c>
      <c r="L551" s="3" t="s">
        <v>1248</v>
      </c>
      <c r="M551" s="3" t="s">
        <v>1249</v>
      </c>
      <c r="N551" s="3"/>
      <c r="O551" s="3" t="s">
        <v>1250</v>
      </c>
      <c r="P551" s="3" t="s">
        <v>1251</v>
      </c>
      <c r="Q551" s="3" t="s">
        <v>67</v>
      </c>
      <c r="R551" s="3"/>
      <c r="S551" s="3" t="str">
        <f>"Nov 25"</f>
        <v>Nov 25</v>
      </c>
    </row>
    <row r="552" spans="1:19" ht="26.25" x14ac:dyDescent="0.25">
      <c r="A552" s="1">
        <v>40872</v>
      </c>
      <c r="B552" s="1">
        <v>40872</v>
      </c>
      <c r="C552" s="2">
        <f t="shared" si="20"/>
        <v>1</v>
      </c>
      <c r="D552" s="6" t="s">
        <v>2088</v>
      </c>
      <c r="E552" s="3" t="s">
        <v>2089</v>
      </c>
      <c r="F552" s="4" t="s">
        <v>58</v>
      </c>
      <c r="G552" s="3" t="s">
        <v>2090</v>
      </c>
      <c r="H552" s="3"/>
      <c r="I552" s="3" t="s">
        <v>105</v>
      </c>
      <c r="J552" s="3" t="s">
        <v>61</v>
      </c>
      <c r="K552" s="3">
        <v>66044</v>
      </c>
      <c r="L552" s="3" t="s">
        <v>844</v>
      </c>
      <c r="M552" s="3"/>
      <c r="N552" s="3"/>
      <c r="O552" s="3"/>
      <c r="P552" s="3"/>
      <c r="Q552" s="3" t="s">
        <v>67</v>
      </c>
      <c r="R552" s="3"/>
      <c r="S552" s="3" t="str">
        <f>"Nov 25"</f>
        <v>Nov 25</v>
      </c>
    </row>
    <row r="553" spans="1:19" ht="39" x14ac:dyDescent="0.25">
      <c r="A553" s="1">
        <v>40872</v>
      </c>
      <c r="B553" s="1">
        <v>40872</v>
      </c>
      <c r="C553" s="2">
        <f t="shared" si="20"/>
        <v>1</v>
      </c>
      <c r="D553" s="6" t="s">
        <v>2091</v>
      </c>
      <c r="E553" s="3" t="s">
        <v>2092</v>
      </c>
      <c r="F553" s="4" t="s">
        <v>58</v>
      </c>
      <c r="G553" s="3" t="s">
        <v>2093</v>
      </c>
      <c r="H553" s="3"/>
      <c r="I553" s="3" t="s">
        <v>2094</v>
      </c>
      <c r="J553" s="3" t="s">
        <v>61</v>
      </c>
      <c r="K553" s="3">
        <v>67661</v>
      </c>
      <c r="L553" s="3" t="s">
        <v>2095</v>
      </c>
      <c r="M553" s="3"/>
      <c r="N553" s="3" t="s">
        <v>2096</v>
      </c>
      <c r="O553" s="3" t="s">
        <v>2097</v>
      </c>
      <c r="P553" s="3" t="s">
        <v>2098</v>
      </c>
      <c r="Q553" s="3" t="s">
        <v>67</v>
      </c>
      <c r="R553" s="3"/>
      <c r="S553" s="3" t="str">
        <f>"Nov 25"</f>
        <v>Nov 25</v>
      </c>
    </row>
    <row r="554" spans="1:19" ht="26.25" x14ac:dyDescent="0.25">
      <c r="A554" s="1">
        <v>40872</v>
      </c>
      <c r="B554" s="1">
        <v>40872</v>
      </c>
      <c r="C554" s="2">
        <f t="shared" si="20"/>
        <v>1</v>
      </c>
      <c r="D554" s="6" t="s">
        <v>2099</v>
      </c>
      <c r="E554" s="3" t="s">
        <v>2100</v>
      </c>
      <c r="F554" s="4" t="s">
        <v>58</v>
      </c>
      <c r="G554" s="3" t="s">
        <v>837</v>
      </c>
      <c r="H554" s="3"/>
      <c r="I554" s="3" t="s">
        <v>60</v>
      </c>
      <c r="J554" s="3" t="s">
        <v>61</v>
      </c>
      <c r="K554" s="3">
        <v>66603</v>
      </c>
      <c r="L554" s="3" t="s">
        <v>838</v>
      </c>
      <c r="M554" s="3" t="s">
        <v>813</v>
      </c>
      <c r="N554" s="3"/>
      <c r="O554" s="3"/>
      <c r="P554" s="3" t="s">
        <v>839</v>
      </c>
      <c r="Q554" s="3" t="s">
        <v>67</v>
      </c>
      <c r="R554" s="3" t="s">
        <v>67</v>
      </c>
      <c r="S554" s="3" t="str">
        <f>"Nov 25"</f>
        <v>Nov 25</v>
      </c>
    </row>
    <row r="555" spans="1:19" ht="39" x14ac:dyDescent="0.25">
      <c r="A555" s="1">
        <v>40873</v>
      </c>
      <c r="B555" s="1">
        <v>40873</v>
      </c>
      <c r="C555" s="2">
        <f t="shared" si="20"/>
        <v>1</v>
      </c>
      <c r="D555" s="6" t="s">
        <v>2123</v>
      </c>
      <c r="E555" s="3" t="s">
        <v>2124</v>
      </c>
      <c r="F555" s="4" t="s">
        <v>58</v>
      </c>
      <c r="G555" s="3" t="s">
        <v>2125</v>
      </c>
      <c r="H555" s="3" t="s">
        <v>2126</v>
      </c>
      <c r="I555" s="3" t="s">
        <v>1225</v>
      </c>
      <c r="J555" s="3" t="s">
        <v>61</v>
      </c>
      <c r="K555" s="3">
        <v>67672</v>
      </c>
      <c r="L555" s="3" t="s">
        <v>2127</v>
      </c>
      <c r="M555" s="3"/>
      <c r="N555" s="3"/>
      <c r="O555" s="3" t="s">
        <v>2128</v>
      </c>
      <c r="P555" s="3" t="s">
        <v>2129</v>
      </c>
      <c r="Q555" s="3" t="s">
        <v>67</v>
      </c>
      <c r="R555" s="3"/>
      <c r="S555" s="3" t="str">
        <f t="shared" ref="S555:S571" si="23">"Nov 26"</f>
        <v>Nov 26</v>
      </c>
    </row>
    <row r="556" spans="1:19" ht="39" x14ac:dyDescent="0.25">
      <c r="A556" s="1">
        <v>40873</v>
      </c>
      <c r="B556" s="1">
        <v>40873</v>
      </c>
      <c r="C556" s="2">
        <f t="shared" si="20"/>
        <v>1</v>
      </c>
      <c r="D556" s="6" t="s">
        <v>2130</v>
      </c>
      <c r="E556" s="3" t="s">
        <v>2131</v>
      </c>
      <c r="F556" s="4" t="s">
        <v>58</v>
      </c>
      <c r="G556" s="3" t="s">
        <v>2132</v>
      </c>
      <c r="H556" s="3"/>
      <c r="I556" s="3" t="s">
        <v>1225</v>
      </c>
      <c r="J556" s="3" t="s">
        <v>61</v>
      </c>
      <c r="K556" s="3">
        <v>67672</v>
      </c>
      <c r="L556" s="3" t="s">
        <v>2133</v>
      </c>
      <c r="M556" s="3" t="s">
        <v>2134</v>
      </c>
      <c r="N556" s="3"/>
      <c r="O556" s="3" t="s">
        <v>2128</v>
      </c>
      <c r="P556" s="3" t="s">
        <v>2129</v>
      </c>
      <c r="Q556" s="3" t="s">
        <v>67</v>
      </c>
      <c r="R556" s="3"/>
      <c r="S556" s="3" t="str">
        <f t="shared" si="23"/>
        <v>Nov 26</v>
      </c>
    </row>
    <row r="557" spans="1:19" ht="26.25" x14ac:dyDescent="0.25">
      <c r="A557" s="1">
        <v>40873</v>
      </c>
      <c r="B557" s="1">
        <v>40873</v>
      </c>
      <c r="C557" s="2">
        <f t="shared" si="20"/>
        <v>1</v>
      </c>
      <c r="D557" s="6" t="s">
        <v>2135</v>
      </c>
      <c r="E557" s="3" t="s">
        <v>2136</v>
      </c>
      <c r="F557" s="4" t="s">
        <v>58</v>
      </c>
      <c r="G557" s="3" t="s">
        <v>2137</v>
      </c>
      <c r="H557" s="3" t="s">
        <v>2138</v>
      </c>
      <c r="I557" s="3" t="s">
        <v>193</v>
      </c>
      <c r="J557" s="3" t="s">
        <v>61</v>
      </c>
      <c r="K557" s="3">
        <v>67530</v>
      </c>
      <c r="L557" s="3" t="s">
        <v>194</v>
      </c>
      <c r="M557" s="3"/>
      <c r="N557" s="3"/>
      <c r="O557" s="3" t="s">
        <v>2085</v>
      </c>
      <c r="P557" s="3"/>
      <c r="Q557" s="3"/>
      <c r="R557" s="3"/>
      <c r="S557" s="3" t="str">
        <f t="shared" si="23"/>
        <v>Nov 26</v>
      </c>
    </row>
    <row r="558" spans="1:19" ht="26.25" x14ac:dyDescent="0.25">
      <c r="A558" s="1">
        <v>40873</v>
      </c>
      <c r="B558" s="1">
        <v>40873</v>
      </c>
      <c r="C558" s="2">
        <f t="shared" si="20"/>
        <v>1</v>
      </c>
      <c r="D558" s="6" t="s">
        <v>2139</v>
      </c>
      <c r="E558" s="3" t="s">
        <v>2140</v>
      </c>
      <c r="F558" s="4" t="s">
        <v>58</v>
      </c>
      <c r="G558" s="3" t="s">
        <v>2141</v>
      </c>
      <c r="H558" s="3" t="s">
        <v>2142</v>
      </c>
      <c r="I558" s="3" t="s">
        <v>105</v>
      </c>
      <c r="J558" s="3" t="s">
        <v>61</v>
      </c>
      <c r="K558" s="3">
        <v>66044</v>
      </c>
      <c r="L558" s="3" t="s">
        <v>2143</v>
      </c>
      <c r="M558" s="3"/>
      <c r="N558" s="3"/>
      <c r="O558" s="3"/>
      <c r="P558" s="3"/>
      <c r="Q558" s="3" t="s">
        <v>67</v>
      </c>
      <c r="R558" s="3"/>
      <c r="S558" s="3" t="str">
        <f t="shared" si="23"/>
        <v>Nov 26</v>
      </c>
    </row>
    <row r="559" spans="1:19" x14ac:dyDescent="0.25">
      <c r="A559" s="1">
        <v>40873</v>
      </c>
      <c r="B559" s="1">
        <v>40873</v>
      </c>
      <c r="C559" s="2">
        <f t="shared" si="20"/>
        <v>1</v>
      </c>
      <c r="D559" s="6" t="s">
        <v>1749</v>
      </c>
      <c r="E559" s="3" t="s">
        <v>2144</v>
      </c>
      <c r="F559" s="4" t="s">
        <v>58</v>
      </c>
      <c r="G559" s="3" t="s">
        <v>2145</v>
      </c>
      <c r="H559" s="3" t="s">
        <v>901</v>
      </c>
      <c r="I559" s="3" t="s">
        <v>245</v>
      </c>
      <c r="J559" s="3" t="s">
        <v>61</v>
      </c>
      <c r="K559" s="3">
        <v>67401</v>
      </c>
      <c r="L559" s="3" t="s">
        <v>902</v>
      </c>
      <c r="M559" s="3" t="s">
        <v>903</v>
      </c>
      <c r="N559" s="3"/>
      <c r="O559" s="3"/>
      <c r="P559" s="3" t="s">
        <v>2146</v>
      </c>
      <c r="Q559" s="3"/>
      <c r="R559" s="3" t="s">
        <v>67</v>
      </c>
      <c r="S559" s="3" t="str">
        <f t="shared" si="23"/>
        <v>Nov 26</v>
      </c>
    </row>
    <row r="560" spans="1:19" x14ac:dyDescent="0.25">
      <c r="A560" s="1">
        <v>40873</v>
      </c>
      <c r="B560" s="1">
        <v>40873</v>
      </c>
      <c r="C560" s="2">
        <f t="shared" si="20"/>
        <v>1</v>
      </c>
      <c r="D560" s="6" t="s">
        <v>2147</v>
      </c>
      <c r="E560" s="3" t="s">
        <v>2138</v>
      </c>
      <c r="F560" s="4" t="s">
        <v>58</v>
      </c>
      <c r="G560" s="3" t="s">
        <v>2148</v>
      </c>
      <c r="H560" s="3" t="s">
        <v>2138</v>
      </c>
      <c r="I560" s="3" t="s">
        <v>193</v>
      </c>
      <c r="J560" s="3" t="s">
        <v>61</v>
      </c>
      <c r="K560" s="3">
        <v>67530</v>
      </c>
      <c r="L560" s="3" t="s">
        <v>2149</v>
      </c>
      <c r="M560" s="3"/>
      <c r="N560" s="3"/>
      <c r="O560" s="3" t="s">
        <v>2150</v>
      </c>
      <c r="P560" s="3"/>
      <c r="Q560" s="3"/>
      <c r="R560" s="3"/>
      <c r="S560" s="3" t="str">
        <f t="shared" si="23"/>
        <v>Nov 26</v>
      </c>
    </row>
    <row r="561" spans="1:19" ht="26.25" x14ac:dyDescent="0.25">
      <c r="A561" s="1">
        <v>40873</v>
      </c>
      <c r="B561" s="1">
        <v>40873</v>
      </c>
      <c r="C561" s="2">
        <f t="shared" si="20"/>
        <v>1</v>
      </c>
      <c r="D561" s="6" t="s">
        <v>2151</v>
      </c>
      <c r="E561" s="3" t="s">
        <v>2152</v>
      </c>
      <c r="F561" s="4" t="s">
        <v>58</v>
      </c>
      <c r="G561" s="3" t="s">
        <v>529</v>
      </c>
      <c r="H561" s="3" t="s">
        <v>2153</v>
      </c>
      <c r="I561" s="3" t="s">
        <v>2154</v>
      </c>
      <c r="J561" s="3" t="s">
        <v>61</v>
      </c>
      <c r="K561" s="3">
        <v>66940</v>
      </c>
      <c r="L561" s="3" t="s">
        <v>2155</v>
      </c>
      <c r="M561" s="3"/>
      <c r="N561" s="3"/>
      <c r="O561" s="3"/>
      <c r="P561" s="3"/>
      <c r="Q561" s="3"/>
      <c r="R561" s="3"/>
      <c r="S561" s="3" t="str">
        <f t="shared" si="23"/>
        <v>Nov 26</v>
      </c>
    </row>
    <row r="562" spans="1:19" ht="26.25" x14ac:dyDescent="0.25">
      <c r="A562" s="1">
        <v>40873</v>
      </c>
      <c r="B562" s="1">
        <v>40873</v>
      </c>
      <c r="C562" s="2">
        <f t="shared" si="20"/>
        <v>1</v>
      </c>
      <c r="D562" s="6" t="s">
        <v>2156</v>
      </c>
      <c r="E562" s="3" t="s">
        <v>2157</v>
      </c>
      <c r="F562" s="4" t="s">
        <v>58</v>
      </c>
      <c r="G562" s="3" t="s">
        <v>2158</v>
      </c>
      <c r="H562" s="3" t="s">
        <v>2159</v>
      </c>
      <c r="I562" s="3" t="s">
        <v>888</v>
      </c>
      <c r="J562" s="3" t="s">
        <v>61</v>
      </c>
      <c r="K562" s="3">
        <v>66032</v>
      </c>
      <c r="L562" s="3" t="s">
        <v>2160</v>
      </c>
      <c r="M562" s="3"/>
      <c r="N562" s="3"/>
      <c r="O562" s="3" t="s">
        <v>2161</v>
      </c>
      <c r="P562" s="3" t="s">
        <v>2162</v>
      </c>
      <c r="Q562" s="3"/>
      <c r="R562" s="3"/>
      <c r="S562" s="3" t="str">
        <f t="shared" si="23"/>
        <v>Nov 26</v>
      </c>
    </row>
    <row r="563" spans="1:19" ht="26.25" x14ac:dyDescent="0.25">
      <c r="A563" s="1">
        <v>40873</v>
      </c>
      <c r="B563" s="1">
        <v>40873</v>
      </c>
      <c r="C563" s="2">
        <f t="shared" si="20"/>
        <v>1</v>
      </c>
      <c r="D563" s="6" t="s">
        <v>2163</v>
      </c>
      <c r="E563" s="3" t="s">
        <v>2164</v>
      </c>
      <c r="F563" s="4" t="s">
        <v>58</v>
      </c>
      <c r="G563" s="3" t="s">
        <v>1317</v>
      </c>
      <c r="H563" s="3"/>
      <c r="I563" s="3" t="s">
        <v>518</v>
      </c>
      <c r="J563" s="3" t="s">
        <v>61</v>
      </c>
      <c r="K563" s="3">
        <v>66006</v>
      </c>
      <c r="L563" s="3" t="s">
        <v>2165</v>
      </c>
      <c r="M563" s="3"/>
      <c r="N563" s="3"/>
      <c r="O563" s="3" t="s">
        <v>2166</v>
      </c>
      <c r="P563" s="3" t="s">
        <v>2167</v>
      </c>
      <c r="Q563" s="3" t="s">
        <v>67</v>
      </c>
      <c r="R563" s="3"/>
      <c r="S563" s="3" t="str">
        <f t="shared" si="23"/>
        <v>Nov 26</v>
      </c>
    </row>
    <row r="564" spans="1:19" ht="26.25" x14ac:dyDescent="0.25">
      <c r="A564" s="1">
        <v>40873</v>
      </c>
      <c r="B564" s="1">
        <v>40873</v>
      </c>
      <c r="C564" s="2">
        <f t="shared" si="20"/>
        <v>1</v>
      </c>
      <c r="D564" s="6" t="s">
        <v>2168</v>
      </c>
      <c r="E564" s="3" t="s">
        <v>2169</v>
      </c>
      <c r="F564" s="4" t="s">
        <v>58</v>
      </c>
      <c r="G564" s="3" t="s">
        <v>2170</v>
      </c>
      <c r="H564" s="3"/>
      <c r="I564" s="3" t="s">
        <v>518</v>
      </c>
      <c r="J564" s="3" t="s">
        <v>61</v>
      </c>
      <c r="K564" s="3">
        <v>66006</v>
      </c>
      <c r="L564" s="3" t="s">
        <v>2171</v>
      </c>
      <c r="M564" s="3"/>
      <c r="N564" s="3"/>
      <c r="O564" s="3" t="s">
        <v>2172</v>
      </c>
      <c r="P564" s="3" t="s">
        <v>2173</v>
      </c>
      <c r="Q564" s="3" t="s">
        <v>67</v>
      </c>
      <c r="R564" s="3"/>
      <c r="S564" s="3" t="str">
        <f t="shared" si="23"/>
        <v>Nov 26</v>
      </c>
    </row>
    <row r="565" spans="1:19" ht="26.25" x14ac:dyDescent="0.25">
      <c r="A565" s="1">
        <v>40873</v>
      </c>
      <c r="B565" s="1">
        <v>40873</v>
      </c>
      <c r="C565" s="2">
        <f t="shared" si="20"/>
        <v>1</v>
      </c>
      <c r="D565" s="6" t="s">
        <v>2174</v>
      </c>
      <c r="E565" s="3" t="s">
        <v>2175</v>
      </c>
      <c r="F565" s="4" t="s">
        <v>58</v>
      </c>
      <c r="G565" s="3" t="s">
        <v>2176</v>
      </c>
      <c r="H565" s="3" t="s">
        <v>2177</v>
      </c>
      <c r="I565" s="3" t="s">
        <v>303</v>
      </c>
      <c r="J565" s="3" t="s">
        <v>61</v>
      </c>
      <c r="K565" s="3">
        <v>66502</v>
      </c>
      <c r="L565" s="3" t="s">
        <v>2178</v>
      </c>
      <c r="M565" s="3"/>
      <c r="N565" s="3"/>
      <c r="O565" s="3"/>
      <c r="P565" s="3"/>
      <c r="Q565" s="3"/>
      <c r="R565" s="3"/>
      <c r="S565" s="3" t="str">
        <f t="shared" si="23"/>
        <v>Nov 26</v>
      </c>
    </row>
    <row r="566" spans="1:19" ht="39" x14ac:dyDescent="0.25">
      <c r="A566" s="1">
        <v>40873</v>
      </c>
      <c r="B566" s="1">
        <v>40873</v>
      </c>
      <c r="C566" s="2">
        <f t="shared" si="20"/>
        <v>1</v>
      </c>
      <c r="D566" s="6" t="s">
        <v>2179</v>
      </c>
      <c r="E566" s="3" t="s">
        <v>2180</v>
      </c>
      <c r="F566" s="4" t="s">
        <v>58</v>
      </c>
      <c r="G566" s="3" t="s">
        <v>2181</v>
      </c>
      <c r="H566" s="3" t="s">
        <v>2182</v>
      </c>
      <c r="I566" s="3" t="s">
        <v>865</v>
      </c>
      <c r="J566" s="3" t="s">
        <v>61</v>
      </c>
      <c r="K566" s="3">
        <v>67671</v>
      </c>
      <c r="L566" s="3" t="s">
        <v>1572</v>
      </c>
      <c r="M566" s="3"/>
      <c r="N566" s="3"/>
      <c r="O566" s="3" t="s">
        <v>1573</v>
      </c>
      <c r="P566" s="3" t="s">
        <v>1574</v>
      </c>
      <c r="Q566" s="3" t="s">
        <v>67</v>
      </c>
      <c r="R566" s="3" t="s">
        <v>67</v>
      </c>
      <c r="S566" s="3" t="str">
        <f t="shared" si="23"/>
        <v>Nov 26</v>
      </c>
    </row>
    <row r="567" spans="1:19" ht="26.25" x14ac:dyDescent="0.25">
      <c r="A567" s="1">
        <v>40873</v>
      </c>
      <c r="B567" s="1">
        <v>40873</v>
      </c>
      <c r="C567" s="2">
        <f t="shared" si="20"/>
        <v>1</v>
      </c>
      <c r="D567" s="6" t="s">
        <v>2183</v>
      </c>
      <c r="E567" s="3" t="s">
        <v>2184</v>
      </c>
      <c r="F567" s="4" t="s">
        <v>58</v>
      </c>
      <c r="G567" s="3" t="s">
        <v>2185</v>
      </c>
      <c r="H567" s="3" t="s">
        <v>2186</v>
      </c>
      <c r="I567" s="3" t="s">
        <v>245</v>
      </c>
      <c r="J567" s="3" t="s">
        <v>61</v>
      </c>
      <c r="K567" s="3">
        <v>67401</v>
      </c>
      <c r="L567" s="3" t="s">
        <v>1577</v>
      </c>
      <c r="M567" s="3"/>
      <c r="N567" s="3"/>
      <c r="O567" s="3" t="s">
        <v>1578</v>
      </c>
      <c r="P567" s="3"/>
      <c r="Q567" s="3" t="s">
        <v>67</v>
      </c>
      <c r="R567" s="3" t="s">
        <v>67</v>
      </c>
      <c r="S567" s="3" t="str">
        <f t="shared" si="23"/>
        <v>Nov 26</v>
      </c>
    </row>
    <row r="568" spans="1:19" ht="26.25" x14ac:dyDescent="0.25">
      <c r="A568" s="1">
        <v>40873</v>
      </c>
      <c r="B568" s="1">
        <v>40873</v>
      </c>
      <c r="C568" s="2">
        <f t="shared" si="20"/>
        <v>1</v>
      </c>
      <c r="D568" s="6" t="s">
        <v>1945</v>
      </c>
      <c r="E568" s="3" t="s">
        <v>2187</v>
      </c>
      <c r="F568" s="4" t="s">
        <v>58</v>
      </c>
      <c r="G568" s="3" t="s">
        <v>619</v>
      </c>
      <c r="H568" s="3" t="s">
        <v>620</v>
      </c>
      <c r="I568" s="3" t="s">
        <v>303</v>
      </c>
      <c r="J568" s="3" t="s">
        <v>61</v>
      </c>
      <c r="K568" s="3">
        <v>66502</v>
      </c>
      <c r="L568" s="3" t="s">
        <v>621</v>
      </c>
      <c r="M568" s="3"/>
      <c r="N568" s="3"/>
      <c r="O568" s="3" t="s">
        <v>623</v>
      </c>
      <c r="P568" s="3" t="s">
        <v>624</v>
      </c>
      <c r="Q568" s="3" t="s">
        <v>67</v>
      </c>
      <c r="R568" s="3" t="s">
        <v>67</v>
      </c>
      <c r="S568" s="3" t="str">
        <f t="shared" si="23"/>
        <v>Nov 26</v>
      </c>
    </row>
    <row r="569" spans="1:19" ht="26.25" x14ac:dyDescent="0.25">
      <c r="A569" s="1">
        <v>40873</v>
      </c>
      <c r="B569" s="1">
        <v>40873</v>
      </c>
      <c r="C569" s="2">
        <f t="shared" si="20"/>
        <v>1</v>
      </c>
      <c r="D569" s="6" t="s">
        <v>2188</v>
      </c>
      <c r="E569" s="3" t="s">
        <v>2189</v>
      </c>
      <c r="F569" s="4" t="s">
        <v>58</v>
      </c>
      <c r="G569" s="3" t="s">
        <v>2190</v>
      </c>
      <c r="H569" s="3"/>
      <c r="I569" s="3" t="s">
        <v>2191</v>
      </c>
      <c r="J569" s="3" t="s">
        <v>61</v>
      </c>
      <c r="K569" s="3">
        <v>66045</v>
      </c>
      <c r="L569" s="3" t="s">
        <v>2192</v>
      </c>
      <c r="M569" s="3"/>
      <c r="N569" s="3"/>
      <c r="O569" s="3"/>
      <c r="P569" s="3"/>
      <c r="Q569" s="3" t="s">
        <v>67</v>
      </c>
      <c r="R569" s="3" t="s">
        <v>67</v>
      </c>
      <c r="S569" s="3" t="str">
        <f t="shared" si="23"/>
        <v>Nov 26</v>
      </c>
    </row>
    <row r="570" spans="1:19" ht="39" x14ac:dyDescent="0.25">
      <c r="A570" s="1">
        <v>40873</v>
      </c>
      <c r="B570" s="1">
        <v>40873</v>
      </c>
      <c r="C570" s="2">
        <f t="shared" si="20"/>
        <v>1</v>
      </c>
      <c r="D570" s="6" t="s">
        <v>2193</v>
      </c>
      <c r="E570" s="3" t="s">
        <v>2194</v>
      </c>
      <c r="F570" s="4" t="s">
        <v>58</v>
      </c>
      <c r="G570" s="3" t="s">
        <v>2195</v>
      </c>
      <c r="H570" s="3" t="s">
        <v>2196</v>
      </c>
      <c r="I570" s="3" t="s">
        <v>179</v>
      </c>
      <c r="J570" s="3" t="s">
        <v>61</v>
      </c>
      <c r="K570" s="3">
        <v>66508</v>
      </c>
      <c r="L570" s="3" t="s">
        <v>1079</v>
      </c>
      <c r="M570" s="3" t="s">
        <v>1538</v>
      </c>
      <c r="N570" s="3" t="s">
        <v>1079</v>
      </c>
      <c r="O570" s="3" t="s">
        <v>1080</v>
      </c>
      <c r="P570" s="3" t="s">
        <v>2197</v>
      </c>
      <c r="Q570" s="3" t="s">
        <v>67</v>
      </c>
      <c r="R570" s="3"/>
      <c r="S570" s="3" t="str">
        <f t="shared" si="23"/>
        <v>Nov 26</v>
      </c>
    </row>
    <row r="571" spans="1:19" ht="26.25" x14ac:dyDescent="0.25">
      <c r="A571" s="1">
        <v>40873</v>
      </c>
      <c r="B571" s="1">
        <v>40873</v>
      </c>
      <c r="C571" s="2">
        <f t="shared" si="20"/>
        <v>1</v>
      </c>
      <c r="D571" s="6" t="s">
        <v>2198</v>
      </c>
      <c r="E571" s="3" t="s">
        <v>2199</v>
      </c>
      <c r="F571" s="4" t="s">
        <v>58</v>
      </c>
      <c r="G571" s="3" t="s">
        <v>2200</v>
      </c>
      <c r="H571" s="3" t="s">
        <v>2201</v>
      </c>
      <c r="I571" s="3" t="s">
        <v>85</v>
      </c>
      <c r="J571" s="3" t="s">
        <v>61</v>
      </c>
      <c r="K571" s="3">
        <v>67501</v>
      </c>
      <c r="L571" s="3" t="s">
        <v>2202</v>
      </c>
      <c r="M571" s="3"/>
      <c r="N571" s="3"/>
      <c r="O571" s="3"/>
      <c r="P571" s="3"/>
      <c r="Q571" s="3" t="s">
        <v>67</v>
      </c>
      <c r="R571" s="3" t="s">
        <v>67</v>
      </c>
      <c r="S571" s="3" t="str">
        <f t="shared" si="23"/>
        <v>Nov 26</v>
      </c>
    </row>
    <row r="572" spans="1:19" ht="26.25" x14ac:dyDescent="0.25">
      <c r="A572" s="1">
        <v>40874</v>
      </c>
      <c r="B572" s="1">
        <v>40874</v>
      </c>
      <c r="C572" s="2">
        <f t="shared" si="20"/>
        <v>1</v>
      </c>
      <c r="D572" s="6" t="s">
        <v>2208</v>
      </c>
      <c r="E572" s="3" t="s">
        <v>2209</v>
      </c>
      <c r="F572" s="4" t="s">
        <v>58</v>
      </c>
      <c r="G572" s="3" t="s">
        <v>2210</v>
      </c>
      <c r="H572" s="3" t="s">
        <v>215</v>
      </c>
      <c r="I572" s="3" t="s">
        <v>2211</v>
      </c>
      <c r="J572" s="3" t="s">
        <v>61</v>
      </c>
      <c r="K572" s="3">
        <v>66966</v>
      </c>
      <c r="L572" s="3" t="s">
        <v>2212</v>
      </c>
      <c r="M572" s="3"/>
      <c r="N572" s="3"/>
      <c r="O572" s="3"/>
      <c r="P572" s="3"/>
      <c r="Q572" s="3"/>
      <c r="R572" s="3"/>
      <c r="S572" s="3" t="str">
        <f>"Nov 27"</f>
        <v>Nov 27</v>
      </c>
    </row>
    <row r="573" spans="1:19" x14ac:dyDescent="0.25">
      <c r="A573" s="1">
        <v>40874</v>
      </c>
      <c r="B573" s="1">
        <v>40874</v>
      </c>
      <c r="C573" s="2">
        <f t="shared" si="20"/>
        <v>1</v>
      </c>
      <c r="D573" s="6" t="s">
        <v>2213</v>
      </c>
      <c r="E573" s="3" t="s">
        <v>2213</v>
      </c>
      <c r="F573" s="4" t="s">
        <v>58</v>
      </c>
      <c r="G573" s="3" t="s">
        <v>2214</v>
      </c>
      <c r="H573" s="3"/>
      <c r="I573" s="3" t="s">
        <v>60</v>
      </c>
      <c r="J573" s="3" t="s">
        <v>61</v>
      </c>
      <c r="K573" s="3">
        <v>66606</v>
      </c>
      <c r="L573" s="3" t="s">
        <v>2215</v>
      </c>
      <c r="M573" s="3"/>
      <c r="N573" s="3"/>
      <c r="O573" s="3"/>
      <c r="P573" s="3"/>
      <c r="Q573" s="3" t="s">
        <v>67</v>
      </c>
      <c r="R573" s="3" t="s">
        <v>67</v>
      </c>
      <c r="S573" s="3" t="str">
        <f>"Nov 27"</f>
        <v>Nov 27</v>
      </c>
    </row>
    <row r="574" spans="1:19" ht="39" x14ac:dyDescent="0.25">
      <c r="A574" s="1">
        <v>40875</v>
      </c>
      <c r="B574" s="1">
        <v>40875</v>
      </c>
      <c r="C574" s="2">
        <f t="shared" si="20"/>
        <v>1</v>
      </c>
      <c r="D574" s="6" t="s">
        <v>2218</v>
      </c>
      <c r="E574" s="3" t="s">
        <v>2219</v>
      </c>
      <c r="F574" s="4" t="s">
        <v>58</v>
      </c>
      <c r="G574" s="3" t="s">
        <v>215</v>
      </c>
      <c r="H574" s="3"/>
      <c r="I574" s="3" t="s">
        <v>125</v>
      </c>
      <c r="J574" s="3" t="s">
        <v>61</v>
      </c>
      <c r="K574" s="3">
        <v>67801</v>
      </c>
      <c r="L574" s="3" t="s">
        <v>2220</v>
      </c>
      <c r="M574" s="3" t="s">
        <v>2221</v>
      </c>
      <c r="N574" s="3"/>
      <c r="O574" s="3" t="s">
        <v>2222</v>
      </c>
      <c r="P574" s="3" t="s">
        <v>2223</v>
      </c>
      <c r="Q574" s="3" t="s">
        <v>67</v>
      </c>
      <c r="R574" s="3"/>
      <c r="S574" s="3" t="str">
        <f>"Nov 28"</f>
        <v>Nov 28</v>
      </c>
    </row>
    <row r="575" spans="1:19" ht="39" x14ac:dyDescent="0.25">
      <c r="A575" s="1">
        <v>40875</v>
      </c>
      <c r="B575" s="1">
        <v>40875</v>
      </c>
      <c r="C575" s="2">
        <f t="shared" si="20"/>
        <v>1</v>
      </c>
      <c r="D575" s="6" t="s">
        <v>2224</v>
      </c>
      <c r="E575" s="3" t="s">
        <v>2225</v>
      </c>
      <c r="F575" s="4" t="s">
        <v>58</v>
      </c>
      <c r="G575" s="3" t="s">
        <v>215</v>
      </c>
      <c r="H575" s="3"/>
      <c r="I575" s="3" t="s">
        <v>2226</v>
      </c>
      <c r="J575" s="3" t="s">
        <v>61</v>
      </c>
      <c r="K575" s="3">
        <v>66762</v>
      </c>
      <c r="L575" s="3" t="s">
        <v>2227</v>
      </c>
      <c r="M575" s="3" t="s">
        <v>1965</v>
      </c>
      <c r="N575" s="3" t="s">
        <v>1966</v>
      </c>
      <c r="O575" s="3" t="s">
        <v>1967</v>
      </c>
      <c r="P575" s="3" t="s">
        <v>1968</v>
      </c>
      <c r="Q575" s="3" t="s">
        <v>67</v>
      </c>
      <c r="R575" s="3"/>
      <c r="S575" s="3" t="str">
        <f>"Nov 28"</f>
        <v>Nov 28</v>
      </c>
    </row>
    <row r="576" spans="1:19" ht="39" x14ac:dyDescent="0.25">
      <c r="A576" s="1">
        <v>40876</v>
      </c>
      <c r="B576" s="1">
        <v>40876</v>
      </c>
      <c r="C576" s="2">
        <f t="shared" si="20"/>
        <v>1</v>
      </c>
      <c r="D576" s="6" t="s">
        <v>2147</v>
      </c>
      <c r="E576" s="3" t="s">
        <v>2233</v>
      </c>
      <c r="F576" s="4" t="s">
        <v>58</v>
      </c>
      <c r="G576" s="3" t="s">
        <v>2234</v>
      </c>
      <c r="H576" s="3" t="s">
        <v>2235</v>
      </c>
      <c r="I576" s="3" t="s">
        <v>91</v>
      </c>
      <c r="J576" s="3" t="s">
        <v>61</v>
      </c>
      <c r="K576" s="3">
        <v>66801</v>
      </c>
      <c r="L576" s="3" t="s">
        <v>2236</v>
      </c>
      <c r="M576" s="3" t="s">
        <v>1713</v>
      </c>
      <c r="N576" s="3" t="s">
        <v>1714</v>
      </c>
      <c r="O576" s="3" t="s">
        <v>2237</v>
      </c>
      <c r="P576" s="3" t="s">
        <v>1716</v>
      </c>
      <c r="Q576" s="3" t="s">
        <v>67</v>
      </c>
      <c r="R576" s="3"/>
      <c r="S576" s="3" t="str">
        <f>"Nov 29"</f>
        <v>Nov 29</v>
      </c>
    </row>
    <row r="577" spans="1:19" s="34" customFormat="1" ht="39" x14ac:dyDescent="0.25">
      <c r="A577" s="30">
        <v>40876</v>
      </c>
      <c r="B577" s="30">
        <v>40876</v>
      </c>
      <c r="C577" s="31">
        <f t="shared" si="20"/>
        <v>1</v>
      </c>
      <c r="D577" s="32" t="s">
        <v>2238</v>
      </c>
      <c r="E577" s="33" t="s">
        <v>2239</v>
      </c>
      <c r="F577" s="4" t="s">
        <v>58</v>
      </c>
      <c r="G577" s="33" t="s">
        <v>1127</v>
      </c>
      <c r="H577" s="33" t="s">
        <v>1128</v>
      </c>
      <c r="I577" s="33" t="s">
        <v>303</v>
      </c>
      <c r="J577" s="33" t="s">
        <v>61</v>
      </c>
      <c r="K577" s="33">
        <v>66502</v>
      </c>
      <c r="L577" s="33" t="s">
        <v>1129</v>
      </c>
      <c r="M577" s="33"/>
      <c r="N577" s="33"/>
      <c r="O577" s="33" t="s">
        <v>1130</v>
      </c>
      <c r="P577" s="33" t="s">
        <v>1197</v>
      </c>
      <c r="Q577" s="33" t="s">
        <v>67</v>
      </c>
      <c r="R577" s="33" t="s">
        <v>67</v>
      </c>
      <c r="S577" s="33" t="str">
        <f>"Nov 29"</f>
        <v>Nov 29</v>
      </c>
    </row>
    <row r="578" spans="1:19" ht="26.25" x14ac:dyDescent="0.25">
      <c r="A578" s="13">
        <v>40877</v>
      </c>
      <c r="B578" s="13">
        <v>40877</v>
      </c>
      <c r="C578" s="21">
        <f t="shared" ref="C578:C641" si="24">(B578-A578)+1</f>
        <v>1</v>
      </c>
      <c r="D578" s="22" t="s">
        <v>2240</v>
      </c>
      <c r="E578" s="9" t="s">
        <v>2241</v>
      </c>
      <c r="F578" s="5" t="s">
        <v>58</v>
      </c>
      <c r="G578" s="9" t="s">
        <v>215</v>
      </c>
      <c r="H578" s="9"/>
      <c r="I578" s="9" t="s">
        <v>2242</v>
      </c>
      <c r="J578" s="9" t="s">
        <v>61</v>
      </c>
      <c r="K578" s="9">
        <v>66712</v>
      </c>
      <c r="L578" s="9" t="s">
        <v>2227</v>
      </c>
      <c r="M578" s="9" t="s">
        <v>1965</v>
      </c>
      <c r="N578" s="9" t="s">
        <v>1966</v>
      </c>
      <c r="O578" s="9" t="s">
        <v>1967</v>
      </c>
      <c r="P578" s="9" t="s">
        <v>1968</v>
      </c>
      <c r="Q578" s="9" t="s">
        <v>67</v>
      </c>
      <c r="R578" s="9"/>
      <c r="S578" s="9" t="str">
        <f>"Nov 30"</f>
        <v>Nov 30</v>
      </c>
    </row>
    <row r="579" spans="1:19" ht="39" x14ac:dyDescent="0.25">
      <c r="A579" s="1">
        <v>40878</v>
      </c>
      <c r="B579" s="1">
        <v>40878</v>
      </c>
      <c r="C579" s="2">
        <f t="shared" si="24"/>
        <v>1</v>
      </c>
      <c r="D579" s="6" t="s">
        <v>2243</v>
      </c>
      <c r="E579" s="3" t="s">
        <v>2244</v>
      </c>
      <c r="F579" s="4" t="s">
        <v>58</v>
      </c>
      <c r="G579" s="3" t="s">
        <v>557</v>
      </c>
      <c r="H579" s="3"/>
      <c r="I579" s="3" t="s">
        <v>558</v>
      </c>
      <c r="J579" s="3" t="s">
        <v>61</v>
      </c>
      <c r="K579" s="3">
        <v>67880</v>
      </c>
      <c r="L579" s="3" t="s">
        <v>559</v>
      </c>
      <c r="M579" s="3"/>
      <c r="N579" s="3" t="s">
        <v>560</v>
      </c>
      <c r="O579" s="3" t="s">
        <v>561</v>
      </c>
      <c r="P579" s="3" t="s">
        <v>562</v>
      </c>
      <c r="Q579" s="3" t="s">
        <v>67</v>
      </c>
      <c r="R579" s="3"/>
      <c r="S579" s="3" t="str">
        <f>"Dec 1"</f>
        <v>Dec 1</v>
      </c>
    </row>
    <row r="580" spans="1:19" ht="26.25" x14ac:dyDescent="0.25">
      <c r="A580" s="1">
        <v>40878</v>
      </c>
      <c r="B580" s="1">
        <v>40878</v>
      </c>
      <c r="C580" s="2">
        <f t="shared" si="24"/>
        <v>1</v>
      </c>
      <c r="D580" s="6" t="s">
        <v>2245</v>
      </c>
      <c r="E580" s="3" t="s">
        <v>2246</v>
      </c>
      <c r="F580" s="4" t="s">
        <v>58</v>
      </c>
      <c r="G580" s="3" t="s">
        <v>215</v>
      </c>
      <c r="H580" s="3"/>
      <c r="I580" s="3" t="s">
        <v>1963</v>
      </c>
      <c r="J580" s="3" t="s">
        <v>61</v>
      </c>
      <c r="K580" s="3">
        <v>66743</v>
      </c>
      <c r="L580" s="3" t="s">
        <v>2247</v>
      </c>
      <c r="M580" s="3" t="s">
        <v>1965</v>
      </c>
      <c r="N580" s="3" t="s">
        <v>1966</v>
      </c>
      <c r="O580" s="3" t="s">
        <v>1967</v>
      </c>
      <c r="P580" s="3" t="s">
        <v>1968</v>
      </c>
      <c r="Q580" s="3" t="s">
        <v>67</v>
      </c>
      <c r="R580" s="3"/>
      <c r="S580" s="3" t="str">
        <f>"Dec 1"</f>
        <v>Dec 1</v>
      </c>
    </row>
    <row r="581" spans="1:19" ht="26.25" x14ac:dyDescent="0.25">
      <c r="A581" s="1">
        <v>40878</v>
      </c>
      <c r="B581" s="1">
        <v>40878</v>
      </c>
      <c r="C581" s="2">
        <f t="shared" si="24"/>
        <v>1</v>
      </c>
      <c r="D581" s="6" t="s">
        <v>2248</v>
      </c>
      <c r="E581" s="3" t="s">
        <v>2249</v>
      </c>
      <c r="F581" s="4" t="s">
        <v>58</v>
      </c>
      <c r="G581" s="3" t="s">
        <v>2250</v>
      </c>
      <c r="H581" s="3"/>
      <c r="I581" s="3" t="s">
        <v>407</v>
      </c>
      <c r="J581" s="3" t="s">
        <v>61</v>
      </c>
      <c r="K581" s="3">
        <v>67010</v>
      </c>
      <c r="L581" s="3" t="s">
        <v>408</v>
      </c>
      <c r="M581" s="3"/>
      <c r="N581" s="3" t="s">
        <v>409</v>
      </c>
      <c r="O581" s="3" t="s">
        <v>410</v>
      </c>
      <c r="P581" s="3" t="s">
        <v>411</v>
      </c>
      <c r="Q581" s="3" t="s">
        <v>67</v>
      </c>
      <c r="R581" s="3"/>
      <c r="S581" s="3" t="str">
        <f>"Dec 1"</f>
        <v>Dec 1</v>
      </c>
    </row>
    <row r="582" spans="1:19" x14ac:dyDescent="0.25">
      <c r="A582" s="1">
        <v>40878</v>
      </c>
      <c r="B582" s="1">
        <v>40878</v>
      </c>
      <c r="C582" s="2">
        <f t="shared" si="24"/>
        <v>1</v>
      </c>
      <c r="D582" s="6" t="s">
        <v>1838</v>
      </c>
      <c r="E582" s="3" t="s">
        <v>618</v>
      </c>
      <c r="F582" s="4" t="s">
        <v>58</v>
      </c>
      <c r="G582" s="3" t="s">
        <v>619</v>
      </c>
      <c r="H582" s="3" t="s">
        <v>2080</v>
      </c>
      <c r="I582" s="3" t="s">
        <v>303</v>
      </c>
      <c r="J582" s="3" t="s">
        <v>61</v>
      </c>
      <c r="K582" s="3">
        <v>66502</v>
      </c>
      <c r="L582" s="3" t="s">
        <v>621</v>
      </c>
      <c r="M582" s="3" t="s">
        <v>622</v>
      </c>
      <c r="N582" s="3"/>
      <c r="O582" s="3"/>
      <c r="P582" s="3" t="s">
        <v>1840</v>
      </c>
      <c r="Q582" s="3" t="s">
        <v>67</v>
      </c>
      <c r="R582" s="3" t="s">
        <v>67</v>
      </c>
      <c r="S582" s="3" t="str">
        <f>"Dec 1"</f>
        <v>Dec 1</v>
      </c>
    </row>
    <row r="583" spans="1:19" ht="26.25" x14ac:dyDescent="0.25">
      <c r="A583" s="1">
        <v>40879</v>
      </c>
      <c r="B583" s="1">
        <v>40879</v>
      </c>
      <c r="C583" s="2">
        <f t="shared" si="24"/>
        <v>1</v>
      </c>
      <c r="D583" s="6" t="s">
        <v>2147</v>
      </c>
      <c r="E583" s="3" t="s">
        <v>2267</v>
      </c>
      <c r="F583" s="4" t="s">
        <v>58</v>
      </c>
      <c r="G583" s="3" t="s">
        <v>215</v>
      </c>
      <c r="H583" s="3"/>
      <c r="I583" s="3" t="s">
        <v>440</v>
      </c>
      <c r="J583" s="3" t="s">
        <v>61</v>
      </c>
      <c r="K583" s="3">
        <v>67337</v>
      </c>
      <c r="L583" s="3" t="s">
        <v>441</v>
      </c>
      <c r="M583" s="3" t="s">
        <v>442</v>
      </c>
      <c r="N583" s="3"/>
      <c r="O583" s="3" t="s">
        <v>2268</v>
      </c>
      <c r="P583" s="3" t="s">
        <v>2269</v>
      </c>
      <c r="Q583" s="3"/>
      <c r="R583" s="3"/>
      <c r="S583" s="3" t="str">
        <f>"Dec 2"</f>
        <v>Dec 2</v>
      </c>
    </row>
    <row r="584" spans="1:19" ht="26.25" x14ac:dyDescent="0.25">
      <c r="A584" s="1">
        <v>40879</v>
      </c>
      <c r="B584" s="1">
        <v>40879</v>
      </c>
      <c r="C584" s="2">
        <f t="shared" si="24"/>
        <v>1</v>
      </c>
      <c r="D584" s="6" t="s">
        <v>2270</v>
      </c>
      <c r="E584" s="3" t="s">
        <v>829</v>
      </c>
      <c r="F584" s="4" t="s">
        <v>58</v>
      </c>
      <c r="G584" s="3" t="s">
        <v>2271</v>
      </c>
      <c r="H584" s="3" t="s">
        <v>831</v>
      </c>
      <c r="I584" s="3" t="s">
        <v>193</v>
      </c>
      <c r="J584" s="3" t="s">
        <v>61</v>
      </c>
      <c r="K584" s="3">
        <v>67530</v>
      </c>
      <c r="L584" s="3" t="s">
        <v>2272</v>
      </c>
      <c r="M584" s="3"/>
      <c r="N584" s="3"/>
      <c r="O584" s="3" t="s">
        <v>833</v>
      </c>
      <c r="P584" s="3" t="s">
        <v>834</v>
      </c>
      <c r="Q584" s="3" t="s">
        <v>67</v>
      </c>
      <c r="R584" s="3" t="s">
        <v>67</v>
      </c>
      <c r="S584" s="3" t="str">
        <f>"Dec 2"</f>
        <v>Dec 2</v>
      </c>
    </row>
    <row r="585" spans="1:19" ht="39" x14ac:dyDescent="0.25">
      <c r="A585" s="1">
        <v>40879</v>
      </c>
      <c r="B585" s="1">
        <v>40879</v>
      </c>
      <c r="C585" s="2">
        <f t="shared" si="24"/>
        <v>1</v>
      </c>
      <c r="D585" s="6" t="s">
        <v>2273</v>
      </c>
      <c r="E585" s="3" t="s">
        <v>2274</v>
      </c>
      <c r="F585" s="4" t="s">
        <v>58</v>
      </c>
      <c r="G585" s="3" t="s">
        <v>2275</v>
      </c>
      <c r="H585" s="3"/>
      <c r="I585" s="3" t="s">
        <v>303</v>
      </c>
      <c r="J585" s="3" t="s">
        <v>61</v>
      </c>
      <c r="K585" s="3">
        <v>66502</v>
      </c>
      <c r="L585" s="3" t="s">
        <v>1561</v>
      </c>
      <c r="M585" s="3"/>
      <c r="N585" s="3"/>
      <c r="O585" s="3" t="s">
        <v>1562</v>
      </c>
      <c r="P585" s="3" t="s">
        <v>1563</v>
      </c>
      <c r="Q585" s="3" t="s">
        <v>67</v>
      </c>
      <c r="R585" s="3"/>
      <c r="S585" s="3" t="str">
        <f>"Dec 2"</f>
        <v>Dec 2</v>
      </c>
    </row>
    <row r="586" spans="1:19" ht="26.25" x14ac:dyDescent="0.25">
      <c r="A586" s="1">
        <v>40879</v>
      </c>
      <c r="B586" s="1">
        <v>40879</v>
      </c>
      <c r="C586" s="2">
        <f t="shared" si="24"/>
        <v>1</v>
      </c>
      <c r="D586" s="6" t="s">
        <v>2276</v>
      </c>
      <c r="E586" s="3" t="s">
        <v>2277</v>
      </c>
      <c r="F586" s="4" t="s">
        <v>58</v>
      </c>
      <c r="G586" s="3" t="s">
        <v>2278</v>
      </c>
      <c r="H586" s="3" t="s">
        <v>2279</v>
      </c>
      <c r="I586" s="3" t="s">
        <v>797</v>
      </c>
      <c r="J586" s="3" t="s">
        <v>61</v>
      </c>
      <c r="K586" s="3">
        <v>66701</v>
      </c>
      <c r="L586" s="3" t="s">
        <v>2280</v>
      </c>
      <c r="M586" s="3"/>
      <c r="N586" s="3"/>
      <c r="O586" s="3"/>
      <c r="P586" s="3"/>
      <c r="Q586" s="3"/>
      <c r="R586" s="3" t="s">
        <v>67</v>
      </c>
      <c r="S586" s="3" t="str">
        <f>"Dec 2"</f>
        <v>Dec 2</v>
      </c>
    </row>
    <row r="587" spans="1:19" ht="26.25" x14ac:dyDescent="0.25">
      <c r="A587" s="1">
        <v>40880</v>
      </c>
      <c r="B587" s="1">
        <v>40880</v>
      </c>
      <c r="C587" s="2">
        <f t="shared" si="24"/>
        <v>1</v>
      </c>
      <c r="D587" s="6" t="s">
        <v>2319</v>
      </c>
      <c r="E587" s="3" t="s">
        <v>2320</v>
      </c>
      <c r="F587" s="4" t="s">
        <v>58</v>
      </c>
      <c r="G587" s="3" t="s">
        <v>529</v>
      </c>
      <c r="H587" s="3"/>
      <c r="I587" s="3" t="s">
        <v>172</v>
      </c>
      <c r="J587" s="3" t="s">
        <v>61</v>
      </c>
      <c r="K587" s="3">
        <v>66067</v>
      </c>
      <c r="L587" s="3" t="s">
        <v>2321</v>
      </c>
      <c r="M587" s="3"/>
      <c r="N587" s="3"/>
      <c r="O587" s="3"/>
      <c r="P587" s="3"/>
      <c r="Q587" s="3" t="s">
        <v>67</v>
      </c>
      <c r="R587" s="3" t="s">
        <v>67</v>
      </c>
      <c r="S587" s="3" t="str">
        <f t="shared" ref="S587:S619" si="25">"Dec 3"</f>
        <v>Dec 3</v>
      </c>
    </row>
    <row r="588" spans="1:19" ht="51.75" x14ac:dyDescent="0.25">
      <c r="A588" s="1">
        <v>40880</v>
      </c>
      <c r="B588" s="1">
        <v>40880</v>
      </c>
      <c r="C588" s="2">
        <f t="shared" si="24"/>
        <v>1</v>
      </c>
      <c r="D588" s="6" t="s">
        <v>2322</v>
      </c>
      <c r="E588" s="3" t="s">
        <v>2323</v>
      </c>
      <c r="F588" s="4" t="s">
        <v>58</v>
      </c>
      <c r="G588" s="3" t="s">
        <v>1726</v>
      </c>
      <c r="H588" s="3" t="s">
        <v>2324</v>
      </c>
      <c r="I588" s="3" t="s">
        <v>1727</v>
      </c>
      <c r="J588" s="3" t="s">
        <v>61</v>
      </c>
      <c r="K588" s="3">
        <v>67003</v>
      </c>
      <c r="L588" s="3" t="s">
        <v>1728</v>
      </c>
      <c r="M588" s="3"/>
      <c r="N588" s="3"/>
      <c r="O588" s="3" t="s">
        <v>1730</v>
      </c>
      <c r="P588" s="3" t="s">
        <v>1731</v>
      </c>
      <c r="Q588" s="3" t="s">
        <v>67</v>
      </c>
      <c r="R588" s="3"/>
      <c r="S588" s="3" t="str">
        <f t="shared" si="25"/>
        <v>Dec 3</v>
      </c>
    </row>
    <row r="589" spans="1:19" ht="39" x14ac:dyDescent="0.25">
      <c r="A589" s="1">
        <v>40880</v>
      </c>
      <c r="B589" s="1">
        <v>40880</v>
      </c>
      <c r="C589" s="2">
        <f t="shared" si="24"/>
        <v>1</v>
      </c>
      <c r="D589" s="6" t="s">
        <v>2325</v>
      </c>
      <c r="E589" s="3" t="s">
        <v>2326</v>
      </c>
      <c r="F589" s="4" t="s">
        <v>58</v>
      </c>
      <c r="G589" s="3" t="s">
        <v>2327</v>
      </c>
      <c r="H589" s="3"/>
      <c r="I589" s="3" t="s">
        <v>594</v>
      </c>
      <c r="J589" s="3" t="s">
        <v>61</v>
      </c>
      <c r="K589" s="3">
        <v>67114</v>
      </c>
      <c r="L589" s="3" t="s">
        <v>595</v>
      </c>
      <c r="M589" s="3"/>
      <c r="N589" s="3"/>
      <c r="O589" s="3" t="s">
        <v>596</v>
      </c>
      <c r="P589" s="3"/>
      <c r="Q589" s="3" t="s">
        <v>67</v>
      </c>
      <c r="R589" s="3"/>
      <c r="S589" s="3" t="str">
        <f t="shared" si="25"/>
        <v>Dec 3</v>
      </c>
    </row>
    <row r="590" spans="1:19" ht="39" x14ac:dyDescent="0.25">
      <c r="A590" s="1">
        <v>40880</v>
      </c>
      <c r="B590" s="1">
        <v>40880</v>
      </c>
      <c r="C590" s="2">
        <f t="shared" si="24"/>
        <v>1</v>
      </c>
      <c r="D590" s="6" t="s">
        <v>2328</v>
      </c>
      <c r="E590" s="3" t="s">
        <v>2326</v>
      </c>
      <c r="F590" s="4" t="s">
        <v>58</v>
      </c>
      <c r="G590" s="3" t="s">
        <v>2329</v>
      </c>
      <c r="H590" s="3" t="s">
        <v>2330</v>
      </c>
      <c r="I590" s="3" t="s">
        <v>956</v>
      </c>
      <c r="J590" s="3" t="s">
        <v>61</v>
      </c>
      <c r="K590" s="3">
        <v>67117</v>
      </c>
      <c r="L590" s="3" t="s">
        <v>2331</v>
      </c>
      <c r="M590" s="3"/>
      <c r="N590" s="3"/>
      <c r="O590" s="3"/>
      <c r="P590" s="3"/>
      <c r="Q590" s="3"/>
      <c r="R590" s="3"/>
      <c r="S590" s="3" t="str">
        <f t="shared" si="25"/>
        <v>Dec 3</v>
      </c>
    </row>
    <row r="591" spans="1:19" ht="39" x14ac:dyDescent="0.25">
      <c r="A591" s="1">
        <v>40880</v>
      </c>
      <c r="B591" s="1">
        <v>40880</v>
      </c>
      <c r="C591" s="2">
        <f t="shared" si="24"/>
        <v>1</v>
      </c>
      <c r="D591" s="6" t="s">
        <v>2328</v>
      </c>
      <c r="E591" s="3" t="s">
        <v>2332</v>
      </c>
      <c r="F591" s="4" t="s">
        <v>58</v>
      </c>
      <c r="G591" s="3" t="s">
        <v>2333</v>
      </c>
      <c r="H591" s="3" t="s">
        <v>2334</v>
      </c>
      <c r="I591" s="3" t="s">
        <v>594</v>
      </c>
      <c r="J591" s="3" t="s">
        <v>61</v>
      </c>
      <c r="K591" s="3">
        <v>67114</v>
      </c>
      <c r="L591" s="3" t="s">
        <v>2335</v>
      </c>
      <c r="M591" s="3"/>
      <c r="N591" s="3"/>
      <c r="O591" s="3"/>
      <c r="P591" s="3"/>
      <c r="Q591" s="3"/>
      <c r="R591" s="3"/>
      <c r="S591" s="3" t="str">
        <f t="shared" si="25"/>
        <v>Dec 3</v>
      </c>
    </row>
    <row r="592" spans="1:19" ht="39" x14ac:dyDescent="0.25">
      <c r="A592" s="1">
        <v>40880</v>
      </c>
      <c r="B592" s="1">
        <v>40880</v>
      </c>
      <c r="C592" s="2">
        <f t="shared" si="24"/>
        <v>1</v>
      </c>
      <c r="D592" s="6" t="s">
        <v>2328</v>
      </c>
      <c r="E592" s="3" t="s">
        <v>2326</v>
      </c>
      <c r="F592" s="4" t="s">
        <v>58</v>
      </c>
      <c r="G592" s="3" t="s">
        <v>2336</v>
      </c>
      <c r="H592" s="3"/>
      <c r="I592" s="3" t="s">
        <v>594</v>
      </c>
      <c r="J592" s="3" t="s">
        <v>61</v>
      </c>
      <c r="K592" s="3">
        <v>67114</v>
      </c>
      <c r="L592" s="3" t="s">
        <v>2337</v>
      </c>
      <c r="M592" s="3"/>
      <c r="N592" s="3"/>
      <c r="O592" s="3"/>
      <c r="P592" s="3"/>
      <c r="Q592" s="3"/>
      <c r="R592" s="3"/>
      <c r="S592" s="3" t="str">
        <f t="shared" si="25"/>
        <v>Dec 3</v>
      </c>
    </row>
    <row r="593" spans="1:19" ht="39" x14ac:dyDescent="0.25">
      <c r="A593" s="1">
        <v>40880</v>
      </c>
      <c r="B593" s="1">
        <v>40880</v>
      </c>
      <c r="C593" s="2">
        <f t="shared" si="24"/>
        <v>1</v>
      </c>
      <c r="D593" s="6" t="s">
        <v>2338</v>
      </c>
      <c r="E593" s="3" t="s">
        <v>2339</v>
      </c>
      <c r="F593" s="4" t="s">
        <v>58</v>
      </c>
      <c r="G593" s="3" t="s">
        <v>2340</v>
      </c>
      <c r="H593" s="3"/>
      <c r="I593" s="3" t="s">
        <v>2341</v>
      </c>
      <c r="J593" s="3" t="s">
        <v>61</v>
      </c>
      <c r="K593" s="3">
        <v>66015</v>
      </c>
      <c r="L593" s="3" t="s">
        <v>2342</v>
      </c>
      <c r="M593" s="3"/>
      <c r="N593" s="3"/>
      <c r="O593" s="3" t="s">
        <v>417</v>
      </c>
      <c r="P593" s="3" t="s">
        <v>2343</v>
      </c>
      <c r="Q593" s="3"/>
      <c r="R593" s="3"/>
      <c r="S593" s="3" t="str">
        <f t="shared" si="25"/>
        <v>Dec 3</v>
      </c>
    </row>
    <row r="594" spans="1:19" ht="39" x14ac:dyDescent="0.25">
      <c r="A594" s="1">
        <v>40880</v>
      </c>
      <c r="B594" s="1">
        <v>40880</v>
      </c>
      <c r="C594" s="2">
        <f t="shared" si="24"/>
        <v>1</v>
      </c>
      <c r="D594" s="6" t="s">
        <v>1988</v>
      </c>
      <c r="E594" s="3" t="s">
        <v>2344</v>
      </c>
      <c r="F594" s="4" t="s">
        <v>58</v>
      </c>
      <c r="G594" s="3" t="s">
        <v>1751</v>
      </c>
      <c r="H594" s="3"/>
      <c r="I594" s="3" t="s">
        <v>963</v>
      </c>
      <c r="J594" s="3" t="s">
        <v>61</v>
      </c>
      <c r="K594" s="3">
        <v>67550</v>
      </c>
      <c r="L594" s="3" t="s">
        <v>1752</v>
      </c>
      <c r="M594" s="3" t="s">
        <v>1753</v>
      </c>
      <c r="N594" s="3"/>
      <c r="O594" s="3" t="s">
        <v>2345</v>
      </c>
      <c r="P594" s="3" t="s">
        <v>1756</v>
      </c>
      <c r="Q594" s="3" t="s">
        <v>67</v>
      </c>
      <c r="R594" s="3"/>
      <c r="S594" s="3" t="str">
        <f t="shared" si="25"/>
        <v>Dec 3</v>
      </c>
    </row>
    <row r="595" spans="1:19" x14ac:dyDescent="0.25">
      <c r="A595" s="1">
        <v>40880</v>
      </c>
      <c r="B595" s="1">
        <v>40880</v>
      </c>
      <c r="C595" s="2">
        <f t="shared" si="24"/>
        <v>1</v>
      </c>
      <c r="D595" s="6" t="s">
        <v>2346</v>
      </c>
      <c r="E595" s="3" t="s">
        <v>1942</v>
      </c>
      <c r="F595" s="4" t="s">
        <v>58</v>
      </c>
      <c r="G595" s="3" t="s">
        <v>2347</v>
      </c>
      <c r="H595" s="3" t="s">
        <v>2348</v>
      </c>
      <c r="I595" s="3" t="s">
        <v>227</v>
      </c>
      <c r="J595" s="3" t="s">
        <v>61</v>
      </c>
      <c r="K595" s="3">
        <v>67410</v>
      </c>
      <c r="L595" s="3" t="s">
        <v>2349</v>
      </c>
      <c r="M595" s="3"/>
      <c r="N595" s="3"/>
      <c r="O595" s="3" t="s">
        <v>2350</v>
      </c>
      <c r="P595" s="3"/>
      <c r="Q595" s="3" t="s">
        <v>67</v>
      </c>
      <c r="R595" s="3"/>
      <c r="S595" s="3" t="str">
        <f t="shared" si="25"/>
        <v>Dec 3</v>
      </c>
    </row>
    <row r="596" spans="1:19" ht="39" x14ac:dyDescent="0.25">
      <c r="A596" s="1">
        <v>40880</v>
      </c>
      <c r="B596" s="1">
        <v>40880</v>
      </c>
      <c r="C596" s="2">
        <f t="shared" si="24"/>
        <v>1</v>
      </c>
      <c r="D596" s="6" t="s">
        <v>2351</v>
      </c>
      <c r="E596" s="3" t="s">
        <v>2351</v>
      </c>
      <c r="F596" s="4" t="s">
        <v>58</v>
      </c>
      <c r="G596" s="3" t="s">
        <v>1267</v>
      </c>
      <c r="H596" s="3" t="s">
        <v>321</v>
      </c>
      <c r="I596" s="3" t="s">
        <v>227</v>
      </c>
      <c r="J596" s="3" t="s">
        <v>61</v>
      </c>
      <c r="K596" s="3">
        <v>67410</v>
      </c>
      <c r="L596" s="3" t="s">
        <v>2352</v>
      </c>
      <c r="M596" s="3"/>
      <c r="N596" s="3"/>
      <c r="O596" s="3" t="s">
        <v>2353</v>
      </c>
      <c r="P596" s="3" t="s">
        <v>2354</v>
      </c>
      <c r="Q596" s="3" t="s">
        <v>67</v>
      </c>
      <c r="R596" s="3" t="s">
        <v>67</v>
      </c>
      <c r="S596" s="3" t="str">
        <f t="shared" si="25"/>
        <v>Dec 3</v>
      </c>
    </row>
    <row r="597" spans="1:19" ht="26.25" x14ac:dyDescent="0.25">
      <c r="A597" s="1">
        <v>40880</v>
      </c>
      <c r="B597" s="1">
        <v>40880</v>
      </c>
      <c r="C597" s="2">
        <f t="shared" si="24"/>
        <v>1</v>
      </c>
      <c r="D597" s="6" t="s">
        <v>2355</v>
      </c>
      <c r="E597" s="3" t="s">
        <v>2356</v>
      </c>
      <c r="F597" s="4" t="s">
        <v>58</v>
      </c>
      <c r="G597" s="3" t="s">
        <v>2357</v>
      </c>
      <c r="H597" s="3"/>
      <c r="I597" s="3" t="s">
        <v>978</v>
      </c>
      <c r="J597" s="3" t="s">
        <v>61</v>
      </c>
      <c r="K597" s="3">
        <v>67456</v>
      </c>
      <c r="L597" s="3" t="s">
        <v>979</v>
      </c>
      <c r="M597" s="3" t="s">
        <v>980</v>
      </c>
      <c r="N597" s="3"/>
      <c r="O597" s="3" t="s">
        <v>2358</v>
      </c>
      <c r="P597" s="3" t="s">
        <v>2359</v>
      </c>
      <c r="Q597" s="3" t="s">
        <v>67</v>
      </c>
      <c r="R597" s="3"/>
      <c r="S597" s="3" t="str">
        <f t="shared" si="25"/>
        <v>Dec 3</v>
      </c>
    </row>
    <row r="598" spans="1:19" ht="26.25" x14ac:dyDescent="0.25">
      <c r="A598" s="1">
        <v>40880</v>
      </c>
      <c r="B598" s="1">
        <v>40880</v>
      </c>
      <c r="C598" s="2">
        <f t="shared" si="24"/>
        <v>1</v>
      </c>
      <c r="D598" s="6" t="s">
        <v>2360</v>
      </c>
      <c r="E598" s="3" t="s">
        <v>2361</v>
      </c>
      <c r="F598" s="4" t="s">
        <v>58</v>
      </c>
      <c r="G598" s="3" t="s">
        <v>2362</v>
      </c>
      <c r="H598" s="3" t="s">
        <v>2363</v>
      </c>
      <c r="I598" s="3" t="s">
        <v>2364</v>
      </c>
      <c r="J598" s="3" t="s">
        <v>61</v>
      </c>
      <c r="K598" s="3">
        <v>67623</v>
      </c>
      <c r="L598" s="3" t="s">
        <v>2365</v>
      </c>
      <c r="M598" s="3"/>
      <c r="N598" s="3"/>
      <c r="O598" s="3" t="s">
        <v>2366</v>
      </c>
      <c r="P598" s="3" t="s">
        <v>2367</v>
      </c>
      <c r="Q598" s="3"/>
      <c r="R598" s="3"/>
      <c r="S598" s="3" t="str">
        <f t="shared" si="25"/>
        <v>Dec 3</v>
      </c>
    </row>
    <row r="599" spans="1:19" ht="26.25" x14ac:dyDescent="0.25">
      <c r="A599" s="1">
        <v>40880</v>
      </c>
      <c r="B599" s="1">
        <v>40880</v>
      </c>
      <c r="C599" s="2">
        <f t="shared" si="24"/>
        <v>1</v>
      </c>
      <c r="D599" s="6" t="s">
        <v>2368</v>
      </c>
      <c r="E599" s="3" t="s">
        <v>2369</v>
      </c>
      <c r="F599" s="4" t="s">
        <v>58</v>
      </c>
      <c r="G599" s="3" t="s">
        <v>2370</v>
      </c>
      <c r="H599" s="3" t="s">
        <v>2371</v>
      </c>
      <c r="I599" s="3" t="s">
        <v>85</v>
      </c>
      <c r="J599" s="3" t="s">
        <v>61</v>
      </c>
      <c r="K599" s="3">
        <v>67501</v>
      </c>
      <c r="L599" s="3" t="s">
        <v>2372</v>
      </c>
      <c r="M599" s="3"/>
      <c r="N599" s="3"/>
      <c r="O599" s="3"/>
      <c r="P599" s="3"/>
      <c r="Q599" s="3" t="s">
        <v>67</v>
      </c>
      <c r="R599" s="3"/>
      <c r="S599" s="3" t="str">
        <f t="shared" si="25"/>
        <v>Dec 3</v>
      </c>
    </row>
    <row r="600" spans="1:19" ht="26.25" x14ac:dyDescent="0.25">
      <c r="A600" s="1">
        <v>40880</v>
      </c>
      <c r="B600" s="1">
        <v>40880</v>
      </c>
      <c r="C600" s="2">
        <f t="shared" si="24"/>
        <v>1</v>
      </c>
      <c r="D600" s="6" t="s">
        <v>2373</v>
      </c>
      <c r="E600" s="3" t="s">
        <v>2374</v>
      </c>
      <c r="F600" s="4" t="s">
        <v>58</v>
      </c>
      <c r="G600" s="3" t="s">
        <v>2375</v>
      </c>
      <c r="H600" s="3"/>
      <c r="I600" s="3" t="s">
        <v>1676</v>
      </c>
      <c r="J600" s="3" t="s">
        <v>61</v>
      </c>
      <c r="K600" s="3">
        <v>67547</v>
      </c>
      <c r="L600" s="3" t="s">
        <v>2376</v>
      </c>
      <c r="M600" s="3" t="s">
        <v>2377</v>
      </c>
      <c r="N600" s="3"/>
      <c r="O600" s="3" t="s">
        <v>2378</v>
      </c>
      <c r="P600" s="3"/>
      <c r="Q600" s="3" t="s">
        <v>67</v>
      </c>
      <c r="R600" s="3"/>
      <c r="S600" s="3" t="str">
        <f t="shared" si="25"/>
        <v>Dec 3</v>
      </c>
    </row>
    <row r="601" spans="1:19" ht="39" x14ac:dyDescent="0.25">
      <c r="A601" s="1">
        <v>40880</v>
      </c>
      <c r="B601" s="1">
        <v>40880</v>
      </c>
      <c r="C601" s="2">
        <f t="shared" si="24"/>
        <v>1</v>
      </c>
      <c r="D601" s="6" t="s">
        <v>1749</v>
      </c>
      <c r="E601" s="3" t="s">
        <v>2379</v>
      </c>
      <c r="F601" s="4" t="s">
        <v>58</v>
      </c>
      <c r="G601" s="3" t="s">
        <v>1185</v>
      </c>
      <c r="H601" s="3" t="s">
        <v>2380</v>
      </c>
      <c r="I601" s="3" t="s">
        <v>1187</v>
      </c>
      <c r="J601" s="3" t="s">
        <v>61</v>
      </c>
      <c r="K601" s="3">
        <v>66061</v>
      </c>
      <c r="L601" s="3" t="s">
        <v>1188</v>
      </c>
      <c r="M601" s="3"/>
      <c r="N601" s="3" t="s">
        <v>2381</v>
      </c>
      <c r="O601" s="3" t="s">
        <v>1639</v>
      </c>
      <c r="P601" s="3" t="s">
        <v>1190</v>
      </c>
      <c r="Q601" s="3" t="s">
        <v>67</v>
      </c>
      <c r="R601" s="3"/>
      <c r="S601" s="3" t="str">
        <f t="shared" si="25"/>
        <v>Dec 3</v>
      </c>
    </row>
    <row r="602" spans="1:19" ht="39" x14ac:dyDescent="0.25">
      <c r="A602" s="1">
        <v>40880</v>
      </c>
      <c r="B602" s="1">
        <v>40880</v>
      </c>
      <c r="C602" s="2">
        <f t="shared" si="24"/>
        <v>1</v>
      </c>
      <c r="D602" s="6" t="s">
        <v>2382</v>
      </c>
      <c r="E602" s="3" t="s">
        <v>2383</v>
      </c>
      <c r="F602" s="4" t="s">
        <v>58</v>
      </c>
      <c r="G602" s="3" t="s">
        <v>529</v>
      </c>
      <c r="H602" s="3"/>
      <c r="I602" s="3" t="s">
        <v>77</v>
      </c>
      <c r="J602" s="3" t="s">
        <v>61</v>
      </c>
      <c r="K602" s="3">
        <v>66067</v>
      </c>
      <c r="L602" s="3" t="s">
        <v>2384</v>
      </c>
      <c r="M602" s="3"/>
      <c r="N602" s="3"/>
      <c r="O602" s="3"/>
      <c r="P602" s="3" t="s">
        <v>2385</v>
      </c>
      <c r="Q602" s="3"/>
      <c r="R602" s="3"/>
      <c r="S602" s="3" t="str">
        <f t="shared" si="25"/>
        <v>Dec 3</v>
      </c>
    </row>
    <row r="603" spans="1:19" ht="26.25" x14ac:dyDescent="0.25">
      <c r="A603" s="1">
        <v>40880</v>
      </c>
      <c r="B603" s="1">
        <v>40880</v>
      </c>
      <c r="C603" s="2">
        <f t="shared" si="24"/>
        <v>1</v>
      </c>
      <c r="D603" s="6" t="s">
        <v>2386</v>
      </c>
      <c r="E603" s="3" t="s">
        <v>2387</v>
      </c>
      <c r="F603" s="4" t="s">
        <v>58</v>
      </c>
      <c r="G603" s="3" t="s">
        <v>2388</v>
      </c>
      <c r="H603" s="3" t="s">
        <v>2389</v>
      </c>
      <c r="I603" s="3" t="s">
        <v>1938</v>
      </c>
      <c r="J603" s="3" t="s">
        <v>61</v>
      </c>
      <c r="K603" s="3">
        <v>67950</v>
      </c>
      <c r="L603" s="3" t="s">
        <v>1939</v>
      </c>
      <c r="M603" s="3"/>
      <c r="N603" s="3" t="s">
        <v>1940</v>
      </c>
      <c r="O603" s="3"/>
      <c r="P603" s="3"/>
      <c r="Q603" s="3" t="s">
        <v>67</v>
      </c>
      <c r="R603" s="3"/>
      <c r="S603" s="3" t="str">
        <f t="shared" si="25"/>
        <v>Dec 3</v>
      </c>
    </row>
    <row r="604" spans="1:19" ht="26.25" x14ac:dyDescent="0.25">
      <c r="A604" s="1">
        <v>40880</v>
      </c>
      <c r="B604" s="1">
        <v>40880</v>
      </c>
      <c r="C604" s="2">
        <f t="shared" si="24"/>
        <v>1</v>
      </c>
      <c r="D604" s="6" t="s">
        <v>2390</v>
      </c>
      <c r="E604" s="3" t="s">
        <v>2391</v>
      </c>
      <c r="F604" s="4" t="s">
        <v>58</v>
      </c>
      <c r="G604" s="3" t="s">
        <v>2392</v>
      </c>
      <c r="H604" s="3" t="s">
        <v>2393</v>
      </c>
      <c r="I604" s="3" t="s">
        <v>530</v>
      </c>
      <c r="J604" s="3" t="s">
        <v>61</v>
      </c>
      <c r="K604" s="3">
        <v>67460</v>
      </c>
      <c r="L604" s="3" t="s">
        <v>2394</v>
      </c>
      <c r="M604" s="3" t="s">
        <v>2395</v>
      </c>
      <c r="N604" s="3" t="s">
        <v>2396</v>
      </c>
      <c r="O604" s="3" t="s">
        <v>2397</v>
      </c>
      <c r="P604" s="3" t="s">
        <v>2398</v>
      </c>
      <c r="Q604" s="3"/>
      <c r="R604" s="3" t="s">
        <v>67</v>
      </c>
      <c r="S604" s="3" t="str">
        <f t="shared" si="25"/>
        <v>Dec 3</v>
      </c>
    </row>
    <row r="605" spans="1:19" ht="26.25" x14ac:dyDescent="0.25">
      <c r="A605" s="1">
        <v>40880</v>
      </c>
      <c r="B605" s="1">
        <v>40880</v>
      </c>
      <c r="C605" s="2">
        <f t="shared" si="24"/>
        <v>1</v>
      </c>
      <c r="D605" s="6" t="s">
        <v>2399</v>
      </c>
      <c r="E605" s="3" t="s">
        <v>2400</v>
      </c>
      <c r="F605" s="4" t="s">
        <v>58</v>
      </c>
      <c r="G605" s="3" t="s">
        <v>2401</v>
      </c>
      <c r="H605" s="3" t="s">
        <v>2402</v>
      </c>
      <c r="I605" s="3" t="s">
        <v>589</v>
      </c>
      <c r="J605" s="3" t="s">
        <v>61</v>
      </c>
      <c r="K605" s="3">
        <v>66548</v>
      </c>
      <c r="L605" s="3" t="s">
        <v>2403</v>
      </c>
      <c r="M605" s="3"/>
      <c r="N605" s="3"/>
      <c r="O605" s="3" t="s">
        <v>1154</v>
      </c>
      <c r="P605" s="3"/>
      <c r="Q605" s="3"/>
      <c r="R605" s="3"/>
      <c r="S605" s="3" t="str">
        <f t="shared" si="25"/>
        <v>Dec 3</v>
      </c>
    </row>
    <row r="606" spans="1:19" ht="26.25" x14ac:dyDescent="0.25">
      <c r="A606" s="1">
        <v>40880</v>
      </c>
      <c r="B606" s="1">
        <v>40880</v>
      </c>
      <c r="C606" s="2">
        <f t="shared" si="24"/>
        <v>1</v>
      </c>
      <c r="D606" s="6" t="s">
        <v>2404</v>
      </c>
      <c r="E606" s="3" t="s">
        <v>2405</v>
      </c>
      <c r="F606" s="4" t="s">
        <v>58</v>
      </c>
      <c r="G606" s="3" t="s">
        <v>1806</v>
      </c>
      <c r="H606" s="3"/>
      <c r="I606" s="3" t="s">
        <v>927</v>
      </c>
      <c r="J606" s="3" t="s">
        <v>61</v>
      </c>
      <c r="K606" s="3">
        <v>67428</v>
      </c>
      <c r="L606" s="3" t="s">
        <v>1807</v>
      </c>
      <c r="M606" s="3"/>
      <c r="N606" s="3"/>
      <c r="O606" s="3" t="s">
        <v>2406</v>
      </c>
      <c r="P606" s="3"/>
      <c r="Q606" s="3"/>
      <c r="R606" s="3" t="s">
        <v>67</v>
      </c>
      <c r="S606" s="3" t="str">
        <f t="shared" si="25"/>
        <v>Dec 3</v>
      </c>
    </row>
    <row r="607" spans="1:19" ht="39" x14ac:dyDescent="0.25">
      <c r="A607" s="1">
        <v>40880</v>
      </c>
      <c r="B607" s="1">
        <v>40880</v>
      </c>
      <c r="C607" s="2">
        <f t="shared" si="24"/>
        <v>1</v>
      </c>
      <c r="D607" s="6" t="s">
        <v>2407</v>
      </c>
      <c r="E607" s="3" t="s">
        <v>2408</v>
      </c>
      <c r="F607" s="4" t="s">
        <v>58</v>
      </c>
      <c r="G607" s="3" t="s">
        <v>2409</v>
      </c>
      <c r="H607" s="3" t="s">
        <v>215</v>
      </c>
      <c r="I607" s="3" t="s">
        <v>105</v>
      </c>
      <c r="J607" s="3" t="s">
        <v>61</v>
      </c>
      <c r="K607" s="3">
        <v>66044</v>
      </c>
      <c r="L607" s="3" t="s">
        <v>2410</v>
      </c>
      <c r="M607" s="3"/>
      <c r="N607" s="3"/>
      <c r="O607" s="3"/>
      <c r="P607" s="3" t="s">
        <v>2411</v>
      </c>
      <c r="Q607" s="3" t="s">
        <v>67</v>
      </c>
      <c r="R607" s="3"/>
      <c r="S607" s="3" t="str">
        <f t="shared" si="25"/>
        <v>Dec 3</v>
      </c>
    </row>
    <row r="608" spans="1:19" ht="39" x14ac:dyDescent="0.25">
      <c r="A608" s="1">
        <v>40880</v>
      </c>
      <c r="B608" s="1">
        <v>40880</v>
      </c>
      <c r="C608" s="2">
        <f t="shared" si="24"/>
        <v>1</v>
      </c>
      <c r="D608" s="6" t="s">
        <v>2412</v>
      </c>
      <c r="E608" s="3" t="s">
        <v>2413</v>
      </c>
      <c r="F608" s="4" t="s">
        <v>58</v>
      </c>
      <c r="G608" s="3" t="s">
        <v>2414</v>
      </c>
      <c r="H608" s="3" t="s">
        <v>2415</v>
      </c>
      <c r="I608" s="3" t="s">
        <v>227</v>
      </c>
      <c r="J608" s="3" t="s">
        <v>61</v>
      </c>
      <c r="K608" s="3">
        <v>67410</v>
      </c>
      <c r="L608" s="3" t="s">
        <v>1629</v>
      </c>
      <c r="M608" s="3" t="s">
        <v>1630</v>
      </c>
      <c r="N608" s="3" t="s">
        <v>2416</v>
      </c>
      <c r="O608" s="3" t="s">
        <v>1631</v>
      </c>
      <c r="P608" s="3" t="s">
        <v>1632</v>
      </c>
      <c r="Q608" s="3" t="s">
        <v>67</v>
      </c>
      <c r="R608" s="3"/>
      <c r="S608" s="3" t="str">
        <f t="shared" si="25"/>
        <v>Dec 3</v>
      </c>
    </row>
    <row r="609" spans="1:19" ht="26.25" x14ac:dyDescent="0.25">
      <c r="A609" s="1">
        <v>40880</v>
      </c>
      <c r="B609" s="1">
        <v>40880</v>
      </c>
      <c r="C609" s="2">
        <f t="shared" si="24"/>
        <v>1</v>
      </c>
      <c r="D609" s="6" t="s">
        <v>2417</v>
      </c>
      <c r="E609" s="3" t="s">
        <v>2418</v>
      </c>
      <c r="F609" s="4" t="s">
        <v>58</v>
      </c>
      <c r="G609" s="3" t="s">
        <v>2141</v>
      </c>
      <c r="H609" s="3"/>
      <c r="I609" s="3" t="s">
        <v>105</v>
      </c>
      <c r="J609" s="3" t="s">
        <v>61</v>
      </c>
      <c r="K609" s="3">
        <v>66044</v>
      </c>
      <c r="L609" s="3" t="s">
        <v>2143</v>
      </c>
      <c r="M609" s="3"/>
      <c r="N609" s="3"/>
      <c r="O609" s="3" t="s">
        <v>2419</v>
      </c>
      <c r="P609" s="3" t="s">
        <v>2420</v>
      </c>
      <c r="Q609" s="3" t="s">
        <v>67</v>
      </c>
      <c r="R609" s="3"/>
      <c r="S609" s="3" t="str">
        <f t="shared" si="25"/>
        <v>Dec 3</v>
      </c>
    </row>
    <row r="610" spans="1:19" ht="51.75" x14ac:dyDescent="0.25">
      <c r="A610" s="1">
        <v>40880</v>
      </c>
      <c r="B610" s="1">
        <v>40880</v>
      </c>
      <c r="C610" s="2">
        <f t="shared" si="24"/>
        <v>1</v>
      </c>
      <c r="D610" s="6" t="s">
        <v>2421</v>
      </c>
      <c r="E610" s="3" t="s">
        <v>2422</v>
      </c>
      <c r="F610" s="4" t="s">
        <v>58</v>
      </c>
      <c r="G610" s="3" t="s">
        <v>2423</v>
      </c>
      <c r="H610" s="3"/>
      <c r="I610" s="3" t="s">
        <v>993</v>
      </c>
      <c r="J610" s="3" t="s">
        <v>61</v>
      </c>
      <c r="K610" s="3">
        <v>66048</v>
      </c>
      <c r="L610" s="3" t="s">
        <v>2424</v>
      </c>
      <c r="M610" s="3"/>
      <c r="N610" s="3" t="s">
        <v>2425</v>
      </c>
      <c r="O610" s="3" t="s">
        <v>2426</v>
      </c>
      <c r="P610" s="3" t="s">
        <v>996</v>
      </c>
      <c r="Q610" s="3" t="s">
        <v>67</v>
      </c>
      <c r="R610" s="3"/>
      <c r="S610" s="3" t="str">
        <f t="shared" si="25"/>
        <v>Dec 3</v>
      </c>
    </row>
    <row r="611" spans="1:19" ht="26.25" x14ac:dyDescent="0.25">
      <c r="A611" s="1">
        <v>40880</v>
      </c>
      <c r="B611" s="1">
        <v>40880</v>
      </c>
      <c r="C611" s="2">
        <f t="shared" si="24"/>
        <v>1</v>
      </c>
      <c r="D611" s="6" t="s">
        <v>2427</v>
      </c>
      <c r="E611" s="3" t="s">
        <v>2428</v>
      </c>
      <c r="F611" s="4" t="s">
        <v>58</v>
      </c>
      <c r="G611" s="3" t="s">
        <v>2429</v>
      </c>
      <c r="H611" s="3" t="s">
        <v>2430</v>
      </c>
      <c r="I611" s="3" t="s">
        <v>245</v>
      </c>
      <c r="J611" s="3" t="s">
        <v>61</v>
      </c>
      <c r="K611" s="3">
        <v>67401</v>
      </c>
      <c r="L611" s="3" t="s">
        <v>2431</v>
      </c>
      <c r="M611" s="3"/>
      <c r="N611" s="3"/>
      <c r="O611" s="3" t="s">
        <v>2432</v>
      </c>
      <c r="P611" s="3" t="s">
        <v>2433</v>
      </c>
      <c r="Q611" s="3" t="s">
        <v>67</v>
      </c>
      <c r="R611" s="3"/>
      <c r="S611" s="3" t="str">
        <f t="shared" si="25"/>
        <v>Dec 3</v>
      </c>
    </row>
    <row r="612" spans="1:19" ht="39" x14ac:dyDescent="0.25">
      <c r="A612" s="1">
        <v>40880</v>
      </c>
      <c r="B612" s="1">
        <v>40880</v>
      </c>
      <c r="C612" s="2">
        <f t="shared" si="24"/>
        <v>1</v>
      </c>
      <c r="D612" s="6" t="s">
        <v>2434</v>
      </c>
      <c r="E612" s="3" t="s">
        <v>2435</v>
      </c>
      <c r="F612" s="4" t="s">
        <v>58</v>
      </c>
      <c r="G612" s="3" t="s">
        <v>777</v>
      </c>
      <c r="H612" s="3" t="s">
        <v>321</v>
      </c>
      <c r="I612" s="3" t="s">
        <v>227</v>
      </c>
      <c r="J612" s="3" t="s">
        <v>61</v>
      </c>
      <c r="K612" s="3">
        <v>67410</v>
      </c>
      <c r="L612" s="3" t="s">
        <v>228</v>
      </c>
      <c r="M612" s="3" t="s">
        <v>229</v>
      </c>
      <c r="N612" s="3"/>
      <c r="O612" s="3" t="s">
        <v>230</v>
      </c>
      <c r="P612" s="3" t="s">
        <v>2436</v>
      </c>
      <c r="Q612" s="3"/>
      <c r="R612" s="3"/>
      <c r="S612" s="3" t="str">
        <f t="shared" si="25"/>
        <v>Dec 3</v>
      </c>
    </row>
    <row r="613" spans="1:19" ht="51.75" x14ac:dyDescent="0.25">
      <c r="A613" s="1">
        <v>40880</v>
      </c>
      <c r="B613" s="1">
        <v>40880</v>
      </c>
      <c r="C613" s="2">
        <f t="shared" si="24"/>
        <v>1</v>
      </c>
      <c r="D613" s="6" t="s">
        <v>2437</v>
      </c>
      <c r="E613" s="3" t="s">
        <v>2438</v>
      </c>
      <c r="F613" s="4" t="s">
        <v>58</v>
      </c>
      <c r="G613" s="3" t="s">
        <v>197</v>
      </c>
      <c r="H613" s="3"/>
      <c r="I613" s="3" t="s">
        <v>199</v>
      </c>
      <c r="J613" s="3" t="s">
        <v>61</v>
      </c>
      <c r="K613" s="3">
        <v>67068</v>
      </c>
      <c r="L613" s="3" t="s">
        <v>200</v>
      </c>
      <c r="M613" s="3"/>
      <c r="N613" s="3"/>
      <c r="O613" s="3" t="s">
        <v>201</v>
      </c>
      <c r="P613" s="3" t="s">
        <v>202</v>
      </c>
      <c r="Q613" s="3" t="s">
        <v>67</v>
      </c>
      <c r="R613" s="3"/>
      <c r="S613" s="3" t="str">
        <f t="shared" si="25"/>
        <v>Dec 3</v>
      </c>
    </row>
    <row r="614" spans="1:19" ht="39" x14ac:dyDescent="0.25">
      <c r="A614" s="1">
        <v>40880</v>
      </c>
      <c r="B614" s="1">
        <v>40880</v>
      </c>
      <c r="C614" s="2">
        <f t="shared" si="24"/>
        <v>1</v>
      </c>
      <c r="D614" s="6" t="s">
        <v>2439</v>
      </c>
      <c r="E614" s="3" t="s">
        <v>2440</v>
      </c>
      <c r="F614" s="4" t="s">
        <v>58</v>
      </c>
      <c r="G614" s="3" t="s">
        <v>1751</v>
      </c>
      <c r="H614" s="3" t="s">
        <v>2441</v>
      </c>
      <c r="I614" s="3" t="s">
        <v>963</v>
      </c>
      <c r="J614" s="3" t="s">
        <v>61</v>
      </c>
      <c r="K614" s="3">
        <v>67550</v>
      </c>
      <c r="L614" s="3" t="s">
        <v>1752</v>
      </c>
      <c r="M614" s="3" t="s">
        <v>1753</v>
      </c>
      <c r="N614" s="3" t="s">
        <v>1754</v>
      </c>
      <c r="O614" s="3" t="s">
        <v>2345</v>
      </c>
      <c r="P614" s="3" t="s">
        <v>1756</v>
      </c>
      <c r="Q614" s="3" t="s">
        <v>67</v>
      </c>
      <c r="R614" s="3"/>
      <c r="S614" s="3" t="str">
        <f t="shared" si="25"/>
        <v>Dec 3</v>
      </c>
    </row>
    <row r="615" spans="1:19" ht="39" x14ac:dyDescent="0.25">
      <c r="A615" s="1">
        <v>40880</v>
      </c>
      <c r="B615" s="1">
        <v>40880</v>
      </c>
      <c r="C615" s="2">
        <f t="shared" si="24"/>
        <v>1</v>
      </c>
      <c r="D615" s="6" t="s">
        <v>2442</v>
      </c>
      <c r="E615" s="3" t="s">
        <v>2443</v>
      </c>
      <c r="F615" s="4" t="s">
        <v>58</v>
      </c>
      <c r="G615" s="3" t="s">
        <v>1627</v>
      </c>
      <c r="H615" s="3" t="s">
        <v>1628</v>
      </c>
      <c r="I615" s="3" t="s">
        <v>227</v>
      </c>
      <c r="J615" s="3" t="s">
        <v>61</v>
      </c>
      <c r="K615" s="3">
        <v>67410</v>
      </c>
      <c r="L615" s="3" t="s">
        <v>1629</v>
      </c>
      <c r="M615" s="3" t="s">
        <v>1630</v>
      </c>
      <c r="N615" s="3" t="s">
        <v>2416</v>
      </c>
      <c r="O615" s="3" t="s">
        <v>1631</v>
      </c>
      <c r="P615" s="3" t="s">
        <v>1632</v>
      </c>
      <c r="Q615" s="3" t="s">
        <v>67</v>
      </c>
      <c r="R615" s="3"/>
      <c r="S615" s="3" t="str">
        <f t="shared" si="25"/>
        <v>Dec 3</v>
      </c>
    </row>
    <row r="616" spans="1:19" ht="39" x14ac:dyDescent="0.25">
      <c r="A616" s="1">
        <v>40880</v>
      </c>
      <c r="B616" s="1">
        <v>40880</v>
      </c>
      <c r="C616" s="2">
        <f t="shared" si="24"/>
        <v>1</v>
      </c>
      <c r="D616" s="6" t="s">
        <v>2444</v>
      </c>
      <c r="E616" s="3" t="s">
        <v>2445</v>
      </c>
      <c r="F616" s="4" t="s">
        <v>58</v>
      </c>
      <c r="G616" s="3" t="s">
        <v>2446</v>
      </c>
      <c r="H616" s="3"/>
      <c r="I616" s="3" t="s">
        <v>978</v>
      </c>
      <c r="J616" s="3" t="s">
        <v>61</v>
      </c>
      <c r="K616" s="3">
        <v>67456</v>
      </c>
      <c r="L616" s="3" t="s">
        <v>2447</v>
      </c>
      <c r="M616" s="3"/>
      <c r="N616" s="3"/>
      <c r="O616" s="3" t="s">
        <v>981</v>
      </c>
      <c r="P616" s="3" t="s">
        <v>982</v>
      </c>
      <c r="Q616" s="3" t="s">
        <v>67</v>
      </c>
      <c r="R616" s="3" t="s">
        <v>67</v>
      </c>
      <c r="S616" s="3" t="str">
        <f t="shared" si="25"/>
        <v>Dec 3</v>
      </c>
    </row>
    <row r="617" spans="1:19" x14ac:dyDescent="0.25">
      <c r="A617" s="1">
        <v>40880</v>
      </c>
      <c r="B617" s="1">
        <v>40880</v>
      </c>
      <c r="C617" s="2">
        <f t="shared" si="24"/>
        <v>1</v>
      </c>
      <c r="D617" s="6" t="s">
        <v>2448</v>
      </c>
      <c r="E617" s="3" t="s">
        <v>2449</v>
      </c>
      <c r="F617" s="4" t="s">
        <v>58</v>
      </c>
      <c r="G617" s="3" t="s">
        <v>2200</v>
      </c>
      <c r="H617" s="3" t="s">
        <v>2201</v>
      </c>
      <c r="I617" s="3" t="s">
        <v>85</v>
      </c>
      <c r="J617" s="3" t="s">
        <v>61</v>
      </c>
      <c r="K617" s="3">
        <v>67501</v>
      </c>
      <c r="L617" s="3" t="s">
        <v>2202</v>
      </c>
      <c r="M617" s="3"/>
      <c r="N617" s="3"/>
      <c r="O617" s="3"/>
      <c r="P617" s="3"/>
      <c r="Q617" s="3" t="s">
        <v>67</v>
      </c>
      <c r="R617" s="3" t="s">
        <v>67</v>
      </c>
      <c r="S617" s="3" t="str">
        <f t="shared" si="25"/>
        <v>Dec 3</v>
      </c>
    </row>
    <row r="618" spans="1:19" x14ac:dyDescent="0.25">
      <c r="A618" s="1">
        <v>40880</v>
      </c>
      <c r="B618" s="1">
        <v>40880</v>
      </c>
      <c r="C618" s="2">
        <f t="shared" si="24"/>
        <v>1</v>
      </c>
      <c r="D618" s="6" t="s">
        <v>2450</v>
      </c>
      <c r="E618" s="3" t="s">
        <v>2451</v>
      </c>
      <c r="F618" s="4" t="s">
        <v>58</v>
      </c>
      <c r="G618" s="3" t="s">
        <v>1421</v>
      </c>
      <c r="H618" s="3"/>
      <c r="I618" s="3" t="s">
        <v>518</v>
      </c>
      <c r="J618" s="3" t="s">
        <v>61</v>
      </c>
      <c r="K618" s="3">
        <v>66006</v>
      </c>
      <c r="L618" s="3" t="s">
        <v>1422</v>
      </c>
      <c r="M618" s="3"/>
      <c r="N618" s="3"/>
      <c r="O618" s="3"/>
      <c r="P618" s="3" t="s">
        <v>1424</v>
      </c>
      <c r="Q618" s="3"/>
      <c r="R618" s="3" t="s">
        <v>67</v>
      </c>
      <c r="S618" s="3" t="str">
        <f t="shared" si="25"/>
        <v>Dec 3</v>
      </c>
    </row>
    <row r="619" spans="1:19" ht="26.25" x14ac:dyDescent="0.25">
      <c r="A619" s="1">
        <v>40880</v>
      </c>
      <c r="B619" s="1">
        <v>40880</v>
      </c>
      <c r="C619" s="2">
        <f t="shared" si="24"/>
        <v>1</v>
      </c>
      <c r="D619" s="6" t="s">
        <v>2452</v>
      </c>
      <c r="E619" s="3" t="s">
        <v>2453</v>
      </c>
      <c r="F619" s="4" t="s">
        <v>58</v>
      </c>
      <c r="G619" s="3" t="s">
        <v>2454</v>
      </c>
      <c r="H619" s="3"/>
      <c r="I619" s="3" t="s">
        <v>978</v>
      </c>
      <c r="J619" s="3" t="s">
        <v>61</v>
      </c>
      <c r="K619" s="3">
        <v>67456</v>
      </c>
      <c r="L619" s="3" t="s">
        <v>979</v>
      </c>
      <c r="M619" s="3" t="s">
        <v>980</v>
      </c>
      <c r="N619" s="3"/>
      <c r="O619" s="3" t="s">
        <v>981</v>
      </c>
      <c r="P619" s="3" t="s">
        <v>982</v>
      </c>
      <c r="Q619" s="3" t="s">
        <v>67</v>
      </c>
      <c r="R619" s="3"/>
      <c r="S619" s="3" t="str">
        <f t="shared" si="25"/>
        <v>Dec 3</v>
      </c>
    </row>
    <row r="620" spans="1:19" ht="39" x14ac:dyDescent="0.25">
      <c r="A620" s="1">
        <v>40881</v>
      </c>
      <c r="B620" s="1">
        <v>40881</v>
      </c>
      <c r="C620" s="2">
        <f t="shared" si="24"/>
        <v>1</v>
      </c>
      <c r="D620" s="6" t="s">
        <v>2488</v>
      </c>
      <c r="E620" s="3" t="s">
        <v>2489</v>
      </c>
      <c r="F620" s="4" t="s">
        <v>58</v>
      </c>
      <c r="G620" s="3" t="s">
        <v>2490</v>
      </c>
      <c r="H620" s="3"/>
      <c r="I620" s="3" t="s">
        <v>2226</v>
      </c>
      <c r="J620" s="3" t="s">
        <v>61</v>
      </c>
      <c r="K620" s="3">
        <v>66762</v>
      </c>
      <c r="L620" s="3" t="s">
        <v>2227</v>
      </c>
      <c r="M620" s="3" t="s">
        <v>1965</v>
      </c>
      <c r="N620" s="3" t="s">
        <v>1966</v>
      </c>
      <c r="O620" s="3" t="s">
        <v>1967</v>
      </c>
      <c r="P620" s="3" t="s">
        <v>2491</v>
      </c>
      <c r="Q620" s="3" t="s">
        <v>67</v>
      </c>
      <c r="R620" s="3" t="s">
        <v>67</v>
      </c>
      <c r="S620" s="3" t="str">
        <f t="shared" ref="S620:S632" si="26">"Dec 4"</f>
        <v>Dec 4</v>
      </c>
    </row>
    <row r="621" spans="1:19" ht="26.25" x14ac:dyDescent="0.25">
      <c r="A621" s="1">
        <v>40881</v>
      </c>
      <c r="B621" s="1">
        <v>40881</v>
      </c>
      <c r="C621" s="2">
        <f t="shared" si="24"/>
        <v>1</v>
      </c>
      <c r="D621" s="6" t="s">
        <v>2492</v>
      </c>
      <c r="E621" s="3" t="s">
        <v>2493</v>
      </c>
      <c r="F621" s="4" t="s">
        <v>58</v>
      </c>
      <c r="G621" s="3" t="s">
        <v>1348</v>
      </c>
      <c r="H621" s="3" t="s">
        <v>2494</v>
      </c>
      <c r="I621" s="3" t="s">
        <v>105</v>
      </c>
      <c r="J621" s="3" t="s">
        <v>61</v>
      </c>
      <c r="K621" s="3">
        <v>66045</v>
      </c>
      <c r="L621" s="3" t="s">
        <v>1349</v>
      </c>
      <c r="M621" s="3"/>
      <c r="N621" s="3"/>
      <c r="O621" s="3"/>
      <c r="P621" s="3" t="s">
        <v>2495</v>
      </c>
      <c r="Q621" s="3" t="s">
        <v>67</v>
      </c>
      <c r="R621" s="3" t="s">
        <v>67</v>
      </c>
      <c r="S621" s="3" t="str">
        <f t="shared" si="26"/>
        <v>Dec 4</v>
      </c>
    </row>
    <row r="622" spans="1:19" ht="26.25" x14ac:dyDescent="0.25">
      <c r="A622" s="1">
        <v>40881</v>
      </c>
      <c r="B622" s="1">
        <v>40881</v>
      </c>
      <c r="C622" s="2">
        <f t="shared" si="24"/>
        <v>1</v>
      </c>
      <c r="D622" s="6" t="s">
        <v>2496</v>
      </c>
      <c r="E622" s="3" t="s">
        <v>2497</v>
      </c>
      <c r="F622" s="4" t="s">
        <v>58</v>
      </c>
      <c r="G622" s="3" t="s">
        <v>1348</v>
      </c>
      <c r="H622" s="3" t="s">
        <v>2494</v>
      </c>
      <c r="I622" s="3" t="s">
        <v>105</v>
      </c>
      <c r="J622" s="3" t="s">
        <v>61</v>
      </c>
      <c r="K622" s="3">
        <v>66045</v>
      </c>
      <c r="L622" s="3" t="s">
        <v>1349</v>
      </c>
      <c r="M622" s="3"/>
      <c r="N622" s="3"/>
      <c r="O622" s="3"/>
      <c r="P622" s="3"/>
      <c r="Q622" s="3" t="s">
        <v>67</v>
      </c>
      <c r="R622" s="3" t="s">
        <v>67</v>
      </c>
      <c r="S622" s="3" t="str">
        <f t="shared" si="26"/>
        <v>Dec 4</v>
      </c>
    </row>
    <row r="623" spans="1:19" ht="26.25" x14ac:dyDescent="0.25">
      <c r="A623" s="1">
        <v>40881</v>
      </c>
      <c r="B623" s="1">
        <v>40881</v>
      </c>
      <c r="C623" s="2">
        <f t="shared" si="24"/>
        <v>1</v>
      </c>
      <c r="D623" s="6" t="s">
        <v>2498</v>
      </c>
      <c r="E623" s="3" t="s">
        <v>2499</v>
      </c>
      <c r="F623" s="4" t="s">
        <v>58</v>
      </c>
      <c r="G623" s="3" t="s">
        <v>538</v>
      </c>
      <c r="H623" s="3"/>
      <c r="I623" s="3" t="s">
        <v>227</v>
      </c>
      <c r="J623" s="3" t="s">
        <v>61</v>
      </c>
      <c r="K623" s="3">
        <v>67410</v>
      </c>
      <c r="L623" s="3" t="s">
        <v>539</v>
      </c>
      <c r="M623" s="3"/>
      <c r="N623" s="3"/>
      <c r="O623" s="3"/>
      <c r="P623" s="3" t="s">
        <v>541</v>
      </c>
      <c r="Q623" s="3" t="s">
        <v>67</v>
      </c>
      <c r="R623" s="3"/>
      <c r="S623" s="3" t="str">
        <f t="shared" si="26"/>
        <v>Dec 4</v>
      </c>
    </row>
    <row r="624" spans="1:19" ht="26.25" x14ac:dyDescent="0.25">
      <c r="A624" s="1">
        <v>40881</v>
      </c>
      <c r="B624" s="1">
        <v>40881</v>
      </c>
      <c r="C624" s="2">
        <f t="shared" si="24"/>
        <v>1</v>
      </c>
      <c r="D624" s="6" t="s">
        <v>2500</v>
      </c>
      <c r="E624" s="3" t="s">
        <v>2501</v>
      </c>
      <c r="F624" s="4" t="s">
        <v>58</v>
      </c>
      <c r="G624" s="3" t="s">
        <v>2502</v>
      </c>
      <c r="H624" s="3"/>
      <c r="I624" s="3" t="s">
        <v>2503</v>
      </c>
      <c r="J624" s="3" t="s">
        <v>61</v>
      </c>
      <c r="K624" s="3">
        <v>66439</v>
      </c>
      <c r="L624" s="3" t="s">
        <v>2504</v>
      </c>
      <c r="M624" s="3"/>
      <c r="N624" s="3"/>
      <c r="O624" s="3"/>
      <c r="P624" s="3" t="s">
        <v>2505</v>
      </c>
      <c r="Q624" s="3" t="s">
        <v>67</v>
      </c>
      <c r="R624" s="3"/>
      <c r="S624" s="3" t="str">
        <f t="shared" si="26"/>
        <v>Dec 4</v>
      </c>
    </row>
    <row r="625" spans="1:19" ht="39" x14ac:dyDescent="0.25">
      <c r="A625" s="1">
        <v>40881</v>
      </c>
      <c r="B625" s="1">
        <v>40881</v>
      </c>
      <c r="C625" s="2">
        <f t="shared" si="24"/>
        <v>1</v>
      </c>
      <c r="D625" s="6" t="s">
        <v>2506</v>
      </c>
      <c r="E625" s="3" t="s">
        <v>2507</v>
      </c>
      <c r="F625" s="4" t="s">
        <v>58</v>
      </c>
      <c r="G625" s="3" t="s">
        <v>2508</v>
      </c>
      <c r="H625" s="3" t="s">
        <v>2509</v>
      </c>
      <c r="I625" s="3" t="s">
        <v>179</v>
      </c>
      <c r="J625" s="3" t="s">
        <v>61</v>
      </c>
      <c r="K625" s="3">
        <v>66508</v>
      </c>
      <c r="L625" s="3" t="s">
        <v>2403</v>
      </c>
      <c r="M625" s="3"/>
      <c r="N625" s="3"/>
      <c r="O625" s="3" t="s">
        <v>1154</v>
      </c>
      <c r="P625" s="3"/>
      <c r="Q625" s="3"/>
      <c r="R625" s="3"/>
      <c r="S625" s="3" t="str">
        <f t="shared" si="26"/>
        <v>Dec 4</v>
      </c>
    </row>
    <row r="626" spans="1:19" ht="26.25" x14ac:dyDescent="0.25">
      <c r="A626" s="1">
        <v>40881</v>
      </c>
      <c r="B626" s="1">
        <v>40881</v>
      </c>
      <c r="C626" s="2">
        <f t="shared" si="24"/>
        <v>1</v>
      </c>
      <c r="D626" s="6" t="s">
        <v>2510</v>
      </c>
      <c r="E626" s="3" t="s">
        <v>2511</v>
      </c>
      <c r="F626" s="4" t="s">
        <v>58</v>
      </c>
      <c r="G626" s="3" t="s">
        <v>2512</v>
      </c>
      <c r="H626" s="3"/>
      <c r="I626" s="3" t="s">
        <v>105</v>
      </c>
      <c r="J626" s="3" t="s">
        <v>61</v>
      </c>
      <c r="K626" s="3">
        <v>66044</v>
      </c>
      <c r="L626" s="3" t="s">
        <v>2513</v>
      </c>
      <c r="M626" s="3"/>
      <c r="N626" s="3"/>
      <c r="O626" s="3"/>
      <c r="P626" s="3"/>
      <c r="Q626" s="3"/>
      <c r="R626" s="3"/>
      <c r="S626" s="3" t="str">
        <f t="shared" si="26"/>
        <v>Dec 4</v>
      </c>
    </row>
    <row r="627" spans="1:19" ht="26.25" x14ac:dyDescent="0.25">
      <c r="A627" s="1">
        <v>40881</v>
      </c>
      <c r="B627" s="1">
        <v>40881</v>
      </c>
      <c r="C627" s="2">
        <f t="shared" si="24"/>
        <v>1</v>
      </c>
      <c r="D627" s="6" t="s">
        <v>2510</v>
      </c>
      <c r="E627" s="3" t="s">
        <v>2514</v>
      </c>
      <c r="F627" s="4" t="s">
        <v>58</v>
      </c>
      <c r="G627" s="3" t="s">
        <v>2515</v>
      </c>
      <c r="H627" s="3" t="s">
        <v>2516</v>
      </c>
      <c r="I627" s="3" t="s">
        <v>888</v>
      </c>
      <c r="J627" s="3" t="s">
        <v>61</v>
      </c>
      <c r="K627" s="3">
        <v>66032</v>
      </c>
      <c r="L627" s="3" t="s">
        <v>2517</v>
      </c>
      <c r="M627" s="3"/>
      <c r="N627" s="3"/>
      <c r="O627" s="3" t="s">
        <v>417</v>
      </c>
      <c r="P627" s="3" t="s">
        <v>890</v>
      </c>
      <c r="Q627" s="3"/>
      <c r="R627" s="3" t="s">
        <v>67</v>
      </c>
      <c r="S627" s="3" t="str">
        <f t="shared" si="26"/>
        <v>Dec 4</v>
      </c>
    </row>
    <row r="628" spans="1:19" ht="26.25" x14ac:dyDescent="0.25">
      <c r="A628" s="1">
        <v>40881</v>
      </c>
      <c r="B628" s="1">
        <v>40881</v>
      </c>
      <c r="C628" s="2">
        <f t="shared" si="24"/>
        <v>1</v>
      </c>
      <c r="D628" s="6" t="s">
        <v>2427</v>
      </c>
      <c r="E628" s="3" t="s">
        <v>2518</v>
      </c>
      <c r="F628" s="4" t="s">
        <v>58</v>
      </c>
      <c r="G628" s="3" t="s">
        <v>752</v>
      </c>
      <c r="H628" s="3" t="s">
        <v>2519</v>
      </c>
      <c r="I628" s="3" t="s">
        <v>193</v>
      </c>
      <c r="J628" s="3" t="s">
        <v>61</v>
      </c>
      <c r="K628" s="3">
        <v>67530</v>
      </c>
      <c r="L628" s="3" t="s">
        <v>748</v>
      </c>
      <c r="M628" s="3"/>
      <c r="N628" s="3"/>
      <c r="O628" s="3" t="s">
        <v>749</v>
      </c>
      <c r="P628" s="3"/>
      <c r="Q628" s="3"/>
      <c r="R628" s="3"/>
      <c r="S628" s="3" t="str">
        <f t="shared" si="26"/>
        <v>Dec 4</v>
      </c>
    </row>
    <row r="629" spans="1:19" x14ac:dyDescent="0.25">
      <c r="A629" s="1">
        <v>40881</v>
      </c>
      <c r="B629" s="1">
        <v>40881</v>
      </c>
      <c r="C629" s="2">
        <f t="shared" si="24"/>
        <v>1</v>
      </c>
      <c r="D629" s="6" t="s">
        <v>2520</v>
      </c>
      <c r="E629" s="3" t="s">
        <v>2521</v>
      </c>
      <c r="F629" s="4" t="s">
        <v>58</v>
      </c>
      <c r="G629" s="3" t="s">
        <v>737</v>
      </c>
      <c r="H629" s="3" t="s">
        <v>2522</v>
      </c>
      <c r="I629" s="3" t="s">
        <v>60</v>
      </c>
      <c r="J629" s="3" t="s">
        <v>61</v>
      </c>
      <c r="K629" s="3">
        <v>66608</v>
      </c>
      <c r="L629" s="3" t="s">
        <v>2523</v>
      </c>
      <c r="M629" s="3"/>
      <c r="N629" s="3"/>
      <c r="O629" s="3"/>
      <c r="P629" s="3" t="s">
        <v>2524</v>
      </c>
      <c r="Q629" s="3" t="s">
        <v>67</v>
      </c>
      <c r="R629" s="3"/>
      <c r="S629" s="3" t="str">
        <f t="shared" si="26"/>
        <v>Dec 4</v>
      </c>
    </row>
    <row r="630" spans="1:19" ht="26.25" x14ac:dyDescent="0.25">
      <c r="A630" s="1">
        <v>40881</v>
      </c>
      <c r="B630" s="1">
        <v>40881</v>
      </c>
      <c r="C630" s="2">
        <f t="shared" si="24"/>
        <v>1</v>
      </c>
      <c r="D630" s="6" t="s">
        <v>2525</v>
      </c>
      <c r="E630" s="3" t="s">
        <v>2526</v>
      </c>
      <c r="F630" s="4" t="s">
        <v>58</v>
      </c>
      <c r="G630" s="3" t="s">
        <v>2527</v>
      </c>
      <c r="H630" s="3"/>
      <c r="I630" s="3" t="s">
        <v>558</v>
      </c>
      <c r="J630" s="3" t="s">
        <v>61</v>
      </c>
      <c r="K630" s="3">
        <v>67880</v>
      </c>
      <c r="L630" s="3" t="s">
        <v>2528</v>
      </c>
      <c r="M630" s="3"/>
      <c r="N630" s="3"/>
      <c r="O630" s="3"/>
      <c r="P630" s="3" t="s">
        <v>2529</v>
      </c>
      <c r="Q630" s="3" t="s">
        <v>67</v>
      </c>
      <c r="R630" s="3"/>
      <c r="S630" s="3" t="str">
        <f t="shared" si="26"/>
        <v>Dec 4</v>
      </c>
    </row>
    <row r="631" spans="1:19" ht="26.25" x14ac:dyDescent="0.25">
      <c r="A631" s="1">
        <v>40881</v>
      </c>
      <c r="B631" s="1">
        <v>40881</v>
      </c>
      <c r="C631" s="2">
        <f t="shared" si="24"/>
        <v>1</v>
      </c>
      <c r="D631" s="6" t="s">
        <v>2530</v>
      </c>
      <c r="E631" s="3" t="s">
        <v>2531</v>
      </c>
      <c r="F631" s="4" t="s">
        <v>58</v>
      </c>
      <c r="G631" s="3" t="s">
        <v>1881</v>
      </c>
      <c r="H631" s="3" t="s">
        <v>1882</v>
      </c>
      <c r="I631" s="3" t="s">
        <v>60</v>
      </c>
      <c r="J631" s="3" t="s">
        <v>61</v>
      </c>
      <c r="K631" s="3">
        <v>66608</v>
      </c>
      <c r="L631" s="3" t="s">
        <v>1883</v>
      </c>
      <c r="M631" s="3"/>
      <c r="N631" s="3"/>
      <c r="O631" s="3"/>
      <c r="P631" s="3" t="s">
        <v>2532</v>
      </c>
      <c r="Q631" s="3" t="s">
        <v>67</v>
      </c>
      <c r="R631" s="3" t="s">
        <v>67</v>
      </c>
      <c r="S631" s="3" t="str">
        <f t="shared" si="26"/>
        <v>Dec 4</v>
      </c>
    </row>
    <row r="632" spans="1:19" x14ac:dyDescent="0.25">
      <c r="A632" s="1">
        <v>40881</v>
      </c>
      <c r="B632" s="1">
        <v>40881</v>
      </c>
      <c r="C632" s="2">
        <f t="shared" si="24"/>
        <v>1</v>
      </c>
      <c r="D632" s="6" t="s">
        <v>2533</v>
      </c>
      <c r="E632" s="3" t="s">
        <v>2534</v>
      </c>
      <c r="F632" s="4" t="s">
        <v>58</v>
      </c>
      <c r="G632" s="3" t="s">
        <v>2535</v>
      </c>
      <c r="H632" s="3" t="s">
        <v>2494</v>
      </c>
      <c r="I632" s="3" t="s">
        <v>105</v>
      </c>
      <c r="J632" s="3" t="s">
        <v>61</v>
      </c>
      <c r="K632" s="3">
        <v>66045</v>
      </c>
      <c r="L632" s="3" t="s">
        <v>1349</v>
      </c>
      <c r="M632" s="3"/>
      <c r="N632" s="3"/>
      <c r="O632" s="3"/>
      <c r="P632" s="3" t="s">
        <v>2495</v>
      </c>
      <c r="Q632" s="3" t="s">
        <v>67</v>
      </c>
      <c r="R632" s="3" t="s">
        <v>67</v>
      </c>
      <c r="S632" s="3" t="str">
        <f t="shared" si="26"/>
        <v>Dec 4</v>
      </c>
    </row>
    <row r="633" spans="1:19" ht="39" x14ac:dyDescent="0.25">
      <c r="A633" s="1">
        <v>40882</v>
      </c>
      <c r="B633" s="1">
        <v>40882</v>
      </c>
      <c r="C633" s="2">
        <f t="shared" si="24"/>
        <v>1</v>
      </c>
      <c r="D633" s="6" t="s">
        <v>2536</v>
      </c>
      <c r="E633" s="3" t="s">
        <v>2537</v>
      </c>
      <c r="F633" s="4" t="s">
        <v>58</v>
      </c>
      <c r="G633" s="3" t="s">
        <v>2538</v>
      </c>
      <c r="H633" s="3"/>
      <c r="I633" s="3" t="s">
        <v>365</v>
      </c>
      <c r="J633" s="3" t="s">
        <v>61</v>
      </c>
      <c r="K633" s="3">
        <v>66012</v>
      </c>
      <c r="L633" s="3" t="s">
        <v>366</v>
      </c>
      <c r="M633" s="3"/>
      <c r="N633" s="3" t="s">
        <v>367</v>
      </c>
      <c r="O633" s="3" t="s">
        <v>368</v>
      </c>
      <c r="P633" s="3" t="s">
        <v>2539</v>
      </c>
      <c r="Q633" s="3" t="s">
        <v>67</v>
      </c>
      <c r="R633" s="3"/>
      <c r="S633" s="3" t="str">
        <f>"Dec 5"</f>
        <v>Dec 5</v>
      </c>
    </row>
    <row r="634" spans="1:19" ht="26.25" x14ac:dyDescent="0.25">
      <c r="A634" s="1">
        <v>40884</v>
      </c>
      <c r="B634" s="1">
        <v>40884</v>
      </c>
      <c r="C634" s="2">
        <f t="shared" si="24"/>
        <v>1</v>
      </c>
      <c r="D634" s="6" t="s">
        <v>2540</v>
      </c>
      <c r="E634" s="3" t="s">
        <v>2540</v>
      </c>
      <c r="F634" s="4" t="s">
        <v>58</v>
      </c>
      <c r="G634" s="3" t="s">
        <v>551</v>
      </c>
      <c r="H634" s="3" t="s">
        <v>552</v>
      </c>
      <c r="I634" s="3" t="s">
        <v>60</v>
      </c>
      <c r="J634" s="3" t="s">
        <v>61</v>
      </c>
      <c r="K634" s="3">
        <v>66621</v>
      </c>
      <c r="L634" s="3" t="s">
        <v>553</v>
      </c>
      <c r="M634" s="3"/>
      <c r="N634" s="3"/>
      <c r="O634" s="3"/>
      <c r="P634" s="3" t="s">
        <v>554</v>
      </c>
      <c r="Q634" s="3" t="s">
        <v>67</v>
      </c>
      <c r="R634" s="3" t="s">
        <v>67</v>
      </c>
      <c r="S634" s="3" t="str">
        <f>"Dec 7"</f>
        <v>Dec 7</v>
      </c>
    </row>
    <row r="635" spans="1:19" ht="39" x14ac:dyDescent="0.25">
      <c r="A635" s="1">
        <v>40884</v>
      </c>
      <c r="B635" s="1">
        <v>40884</v>
      </c>
      <c r="C635" s="2">
        <f t="shared" si="24"/>
        <v>1</v>
      </c>
      <c r="D635" s="6" t="s">
        <v>2541</v>
      </c>
      <c r="E635" s="3" t="s">
        <v>2542</v>
      </c>
      <c r="F635" s="4" t="s">
        <v>58</v>
      </c>
      <c r="G635" s="3" t="s">
        <v>1127</v>
      </c>
      <c r="H635" s="3" t="s">
        <v>1128</v>
      </c>
      <c r="I635" s="3" t="s">
        <v>303</v>
      </c>
      <c r="J635" s="3" t="s">
        <v>61</v>
      </c>
      <c r="K635" s="3">
        <v>66502</v>
      </c>
      <c r="L635" s="3" t="s">
        <v>1129</v>
      </c>
      <c r="M635" s="3"/>
      <c r="N635" s="3"/>
      <c r="O635" s="3" t="s">
        <v>1130</v>
      </c>
      <c r="P635" s="3" t="s">
        <v>1197</v>
      </c>
      <c r="Q635" s="3" t="s">
        <v>67</v>
      </c>
      <c r="R635" s="3" t="s">
        <v>67</v>
      </c>
      <c r="S635" s="3" t="str">
        <f>"Dec 7"</f>
        <v>Dec 7</v>
      </c>
    </row>
    <row r="636" spans="1:19" x14ac:dyDescent="0.25">
      <c r="A636" s="1">
        <v>40885</v>
      </c>
      <c r="B636" s="1">
        <v>40885</v>
      </c>
      <c r="C636" s="2">
        <f t="shared" si="24"/>
        <v>1</v>
      </c>
      <c r="D636" s="6" t="s">
        <v>2545</v>
      </c>
      <c r="E636" s="3" t="s">
        <v>2546</v>
      </c>
      <c r="F636" s="4" t="s">
        <v>58</v>
      </c>
      <c r="G636" s="3" t="s">
        <v>1348</v>
      </c>
      <c r="H636" s="3" t="s">
        <v>2494</v>
      </c>
      <c r="I636" s="3" t="s">
        <v>105</v>
      </c>
      <c r="J636" s="3" t="s">
        <v>61</v>
      </c>
      <c r="K636" s="3">
        <v>66045</v>
      </c>
      <c r="L636" s="3" t="s">
        <v>1349</v>
      </c>
      <c r="M636" s="3"/>
      <c r="N636" s="3"/>
      <c r="O636" s="3"/>
      <c r="P636" s="3" t="s">
        <v>2495</v>
      </c>
      <c r="Q636" s="3" t="s">
        <v>67</v>
      </c>
      <c r="R636" s="3" t="s">
        <v>67</v>
      </c>
      <c r="S636" s="3" t="str">
        <f t="shared" ref="S636:S641" si="27">"Dec 8"</f>
        <v>Dec 8</v>
      </c>
    </row>
    <row r="637" spans="1:19" x14ac:dyDescent="0.25">
      <c r="A637" s="1">
        <v>40885</v>
      </c>
      <c r="B637" s="1">
        <v>40885</v>
      </c>
      <c r="C637" s="2">
        <f t="shared" si="24"/>
        <v>1</v>
      </c>
      <c r="D637" s="6" t="s">
        <v>2545</v>
      </c>
      <c r="E637" s="3" t="s">
        <v>2547</v>
      </c>
      <c r="F637" s="4" t="s">
        <v>58</v>
      </c>
      <c r="G637" s="3" t="s">
        <v>2007</v>
      </c>
      <c r="H637" s="3" t="s">
        <v>2535</v>
      </c>
      <c r="I637" s="3" t="s">
        <v>105</v>
      </c>
      <c r="J637" s="3" t="s">
        <v>61</v>
      </c>
      <c r="K637" s="3">
        <v>66045</v>
      </c>
      <c r="L637" s="3" t="s">
        <v>1349</v>
      </c>
      <c r="M637" s="3"/>
      <c r="N637" s="3"/>
      <c r="O637" s="3"/>
      <c r="P637" s="3"/>
      <c r="Q637" s="3" t="s">
        <v>67</v>
      </c>
      <c r="R637" s="3" t="s">
        <v>67</v>
      </c>
      <c r="S637" s="3" t="str">
        <f t="shared" si="27"/>
        <v>Dec 8</v>
      </c>
    </row>
    <row r="638" spans="1:19" ht="26.25" x14ac:dyDescent="0.25">
      <c r="A638" s="1">
        <v>40885</v>
      </c>
      <c r="B638" s="1">
        <v>40885</v>
      </c>
      <c r="C638" s="2">
        <f t="shared" si="24"/>
        <v>1</v>
      </c>
      <c r="D638" s="6" t="s">
        <v>2548</v>
      </c>
      <c r="E638" s="3" t="s">
        <v>2549</v>
      </c>
      <c r="F638" s="4" t="s">
        <v>58</v>
      </c>
      <c r="G638" s="3" t="s">
        <v>1163</v>
      </c>
      <c r="H638" s="3" t="s">
        <v>1164</v>
      </c>
      <c r="I638" s="3" t="s">
        <v>71</v>
      </c>
      <c r="J638" s="3" t="s">
        <v>61</v>
      </c>
      <c r="K638" s="3">
        <v>67202</v>
      </c>
      <c r="L638" s="3" t="s">
        <v>1036</v>
      </c>
      <c r="M638" s="3"/>
      <c r="N638" s="3"/>
      <c r="O638" s="3"/>
      <c r="P638" s="3" t="s">
        <v>1165</v>
      </c>
      <c r="Q638" s="3" t="s">
        <v>67</v>
      </c>
      <c r="R638" s="3" t="s">
        <v>67</v>
      </c>
      <c r="S638" s="3" t="str">
        <f t="shared" si="27"/>
        <v>Dec 8</v>
      </c>
    </row>
    <row r="639" spans="1:19" ht="39" x14ac:dyDescent="0.25">
      <c r="A639" s="1">
        <v>40885</v>
      </c>
      <c r="B639" s="1">
        <v>40885</v>
      </c>
      <c r="C639" s="2">
        <f t="shared" si="24"/>
        <v>1</v>
      </c>
      <c r="D639" s="6" t="s">
        <v>2550</v>
      </c>
      <c r="E639" s="3" t="s">
        <v>2551</v>
      </c>
      <c r="F639" s="4" t="s">
        <v>58</v>
      </c>
      <c r="G639" s="3" t="s">
        <v>2552</v>
      </c>
      <c r="H639" s="3" t="s">
        <v>2553</v>
      </c>
      <c r="I639" s="3" t="s">
        <v>422</v>
      </c>
      <c r="J639" s="3" t="s">
        <v>61</v>
      </c>
      <c r="K639" s="3">
        <v>67002</v>
      </c>
      <c r="L639" s="3" t="s">
        <v>423</v>
      </c>
      <c r="M639" s="3"/>
      <c r="N639" s="3" t="s">
        <v>2554</v>
      </c>
      <c r="O639" s="3" t="s">
        <v>2555</v>
      </c>
      <c r="P639" s="3" t="s">
        <v>425</v>
      </c>
      <c r="Q639" s="3" t="s">
        <v>67</v>
      </c>
      <c r="R639" s="3"/>
      <c r="S639" s="3" t="str">
        <f t="shared" si="27"/>
        <v>Dec 8</v>
      </c>
    </row>
    <row r="640" spans="1:19" ht="26.25" x14ac:dyDescent="0.25">
      <c r="A640" s="1">
        <v>40885</v>
      </c>
      <c r="B640" s="1">
        <v>40885</v>
      </c>
      <c r="C640" s="2">
        <f t="shared" si="24"/>
        <v>1</v>
      </c>
      <c r="D640" s="6" t="s">
        <v>2556</v>
      </c>
      <c r="E640" s="3" t="s">
        <v>2557</v>
      </c>
      <c r="F640" s="4" t="s">
        <v>58</v>
      </c>
      <c r="G640" s="3" t="s">
        <v>271</v>
      </c>
      <c r="H640" s="3"/>
      <c r="I640" s="3" t="s">
        <v>210</v>
      </c>
      <c r="J640" s="3" t="s">
        <v>61</v>
      </c>
      <c r="K640" s="3">
        <v>66002</v>
      </c>
      <c r="L640" s="3" t="s">
        <v>272</v>
      </c>
      <c r="M640" s="3" t="s">
        <v>273</v>
      </c>
      <c r="N640" s="3" t="s">
        <v>274</v>
      </c>
      <c r="O640" s="3" t="s">
        <v>2558</v>
      </c>
      <c r="P640" s="3" t="s">
        <v>276</v>
      </c>
      <c r="Q640" s="3" t="s">
        <v>67</v>
      </c>
      <c r="R640" s="3"/>
      <c r="S640" s="3" t="str">
        <f t="shared" si="27"/>
        <v>Dec 8</v>
      </c>
    </row>
    <row r="641" spans="1:19" ht="39" x14ac:dyDescent="0.25">
      <c r="A641" s="1">
        <v>40885</v>
      </c>
      <c r="B641" s="1">
        <v>40885</v>
      </c>
      <c r="C641" s="2">
        <f t="shared" si="24"/>
        <v>1</v>
      </c>
      <c r="D641" s="6" t="s">
        <v>2559</v>
      </c>
      <c r="E641" s="3" t="s">
        <v>2560</v>
      </c>
      <c r="F641" s="4" t="s">
        <v>58</v>
      </c>
      <c r="G641" s="3" t="s">
        <v>1034</v>
      </c>
      <c r="H641" s="3" t="s">
        <v>1035</v>
      </c>
      <c r="I641" s="3" t="s">
        <v>71</v>
      </c>
      <c r="J641" s="3" t="s">
        <v>61</v>
      </c>
      <c r="K641" s="3">
        <v>67202</v>
      </c>
      <c r="L641" s="3" t="s">
        <v>1036</v>
      </c>
      <c r="M641" s="3"/>
      <c r="N641" s="3"/>
      <c r="O641" s="3"/>
      <c r="P641" s="3" t="s">
        <v>1037</v>
      </c>
      <c r="Q641" s="3" t="s">
        <v>67</v>
      </c>
      <c r="R641" s="3" t="s">
        <v>67</v>
      </c>
      <c r="S641" s="3" t="str">
        <f t="shared" si="27"/>
        <v>Dec 8</v>
      </c>
    </row>
    <row r="642" spans="1:19" x14ac:dyDescent="0.25">
      <c r="A642" s="1">
        <v>40886</v>
      </c>
      <c r="B642" s="1">
        <v>40886</v>
      </c>
      <c r="C642" s="2">
        <f t="shared" ref="C642:C705" si="28">(B642-A642)+1</f>
        <v>1</v>
      </c>
      <c r="D642" s="6" t="s">
        <v>2561</v>
      </c>
      <c r="E642" s="3" t="s">
        <v>2562</v>
      </c>
      <c r="F642" s="4" t="s">
        <v>58</v>
      </c>
      <c r="G642" s="3" t="s">
        <v>824</v>
      </c>
      <c r="H642" s="3" t="s">
        <v>825</v>
      </c>
      <c r="I642" s="3" t="s">
        <v>71</v>
      </c>
      <c r="J642" s="3" t="s">
        <v>61</v>
      </c>
      <c r="K642" s="3">
        <v>67209</v>
      </c>
      <c r="L642" s="3" t="s">
        <v>826</v>
      </c>
      <c r="M642" s="3"/>
      <c r="N642" s="3"/>
      <c r="O642" s="3"/>
      <c r="P642" s="3" t="s">
        <v>827</v>
      </c>
      <c r="Q642" s="3" t="s">
        <v>67</v>
      </c>
      <c r="R642" s="3" t="s">
        <v>67</v>
      </c>
      <c r="S642" s="3" t="str">
        <f>"Dec 9"</f>
        <v>Dec 9</v>
      </c>
    </row>
    <row r="643" spans="1:19" ht="39" x14ac:dyDescent="0.25">
      <c r="A643" s="1">
        <v>40887</v>
      </c>
      <c r="B643" s="1">
        <v>40887</v>
      </c>
      <c r="C643" s="2">
        <f t="shared" si="28"/>
        <v>1</v>
      </c>
      <c r="D643" s="6" t="s">
        <v>2573</v>
      </c>
      <c r="E643" s="3" t="s">
        <v>2574</v>
      </c>
      <c r="F643" s="4" t="s">
        <v>58</v>
      </c>
      <c r="G643" s="3" t="s">
        <v>1267</v>
      </c>
      <c r="H643" s="3" t="s">
        <v>321</v>
      </c>
      <c r="I643" s="3" t="s">
        <v>227</v>
      </c>
      <c r="J643" s="3" t="s">
        <v>61</v>
      </c>
      <c r="K643" s="3">
        <v>67410</v>
      </c>
      <c r="L643" s="3" t="s">
        <v>2575</v>
      </c>
      <c r="M643" s="3"/>
      <c r="N643" s="3"/>
      <c r="O643" s="3" t="s">
        <v>2576</v>
      </c>
      <c r="P643" s="3"/>
      <c r="Q643" s="3"/>
      <c r="R643" s="3" t="s">
        <v>67</v>
      </c>
      <c r="S643" s="3" t="str">
        <f t="shared" ref="S643:S653" si="29">"Dec 10"</f>
        <v>Dec 10</v>
      </c>
    </row>
    <row r="644" spans="1:19" ht="26.25" x14ac:dyDescent="0.25">
      <c r="A644" s="1">
        <v>40887</v>
      </c>
      <c r="B644" s="1">
        <v>40887</v>
      </c>
      <c r="C644" s="2">
        <f t="shared" si="28"/>
        <v>1</v>
      </c>
      <c r="D644" s="6" t="s">
        <v>2577</v>
      </c>
      <c r="E644" s="3" t="s">
        <v>2578</v>
      </c>
      <c r="F644" s="4" t="s">
        <v>58</v>
      </c>
      <c r="G644" s="3" t="s">
        <v>1327</v>
      </c>
      <c r="H644" s="3"/>
      <c r="I644" s="3" t="s">
        <v>60</v>
      </c>
      <c r="J644" s="3" t="s">
        <v>61</v>
      </c>
      <c r="K644" s="3">
        <v>66603</v>
      </c>
      <c r="L644" s="3" t="s">
        <v>1328</v>
      </c>
      <c r="M644" s="3"/>
      <c r="N644" s="3"/>
      <c r="O644" s="3"/>
      <c r="P644" s="3" t="s">
        <v>1329</v>
      </c>
      <c r="Q644" s="3" t="s">
        <v>67</v>
      </c>
      <c r="R644" s="3" t="s">
        <v>67</v>
      </c>
      <c r="S644" s="3" t="str">
        <f t="shared" si="29"/>
        <v>Dec 10</v>
      </c>
    </row>
    <row r="645" spans="1:19" ht="26.25" x14ac:dyDescent="0.25">
      <c r="A645" s="1">
        <v>40887</v>
      </c>
      <c r="B645" s="1">
        <v>40887</v>
      </c>
      <c r="C645" s="2">
        <f t="shared" si="28"/>
        <v>1</v>
      </c>
      <c r="D645" s="6" t="s">
        <v>2579</v>
      </c>
      <c r="E645" s="3" t="s">
        <v>2580</v>
      </c>
      <c r="F645" s="4" t="s">
        <v>58</v>
      </c>
      <c r="G645" s="3" t="s">
        <v>2581</v>
      </c>
      <c r="H645" s="3"/>
      <c r="I645" s="3" t="s">
        <v>894</v>
      </c>
      <c r="J645" s="3" t="s">
        <v>61</v>
      </c>
      <c r="K645" s="3">
        <v>66901</v>
      </c>
      <c r="L645" s="3" t="s">
        <v>2582</v>
      </c>
      <c r="M645" s="3"/>
      <c r="N645" s="3"/>
      <c r="O645" s="3"/>
      <c r="P645" s="3" t="s">
        <v>2583</v>
      </c>
      <c r="Q645" s="3" t="s">
        <v>67</v>
      </c>
      <c r="R645" s="3" t="s">
        <v>67</v>
      </c>
      <c r="S645" s="3" t="str">
        <f t="shared" si="29"/>
        <v>Dec 10</v>
      </c>
    </row>
    <row r="646" spans="1:19" x14ac:dyDescent="0.25">
      <c r="A646" s="1">
        <v>40887</v>
      </c>
      <c r="B646" s="1">
        <v>40887</v>
      </c>
      <c r="C646" s="2">
        <f t="shared" si="28"/>
        <v>1</v>
      </c>
      <c r="D646" s="6" t="s">
        <v>2584</v>
      </c>
      <c r="E646" s="3" t="s">
        <v>2585</v>
      </c>
      <c r="F646" s="4" t="s">
        <v>58</v>
      </c>
      <c r="G646" s="3" t="s">
        <v>2586</v>
      </c>
      <c r="H646" s="3" t="s">
        <v>2587</v>
      </c>
      <c r="I646" s="3" t="s">
        <v>85</v>
      </c>
      <c r="J646" s="3" t="s">
        <v>61</v>
      </c>
      <c r="K646" s="3">
        <v>67501</v>
      </c>
      <c r="L646" s="3" t="s">
        <v>2588</v>
      </c>
      <c r="M646" s="3"/>
      <c r="N646" s="3"/>
      <c r="O646" s="3"/>
      <c r="P646" s="3"/>
      <c r="Q646" s="3" t="s">
        <v>67</v>
      </c>
      <c r="R646" s="3" t="s">
        <v>67</v>
      </c>
      <c r="S646" s="3" t="str">
        <f t="shared" si="29"/>
        <v>Dec 10</v>
      </c>
    </row>
    <row r="647" spans="1:19" ht="26.25" x14ac:dyDescent="0.25">
      <c r="A647" s="1">
        <v>40887</v>
      </c>
      <c r="B647" s="1">
        <v>40887</v>
      </c>
      <c r="C647" s="2">
        <f t="shared" si="28"/>
        <v>1</v>
      </c>
      <c r="D647" s="6" t="s">
        <v>2589</v>
      </c>
      <c r="E647" s="3" t="s">
        <v>2590</v>
      </c>
      <c r="F647" s="4" t="s">
        <v>58</v>
      </c>
      <c r="G647" s="3" t="s">
        <v>2141</v>
      </c>
      <c r="H647" s="3" t="s">
        <v>2142</v>
      </c>
      <c r="I647" s="3" t="s">
        <v>105</v>
      </c>
      <c r="J647" s="3" t="s">
        <v>61</v>
      </c>
      <c r="K647" s="3">
        <v>66044</v>
      </c>
      <c r="L647" s="3" t="s">
        <v>2143</v>
      </c>
      <c r="M647" s="3"/>
      <c r="N647" s="3"/>
      <c r="O647" s="3"/>
      <c r="P647" s="3"/>
      <c r="Q647" s="3" t="s">
        <v>67</v>
      </c>
      <c r="R647" s="3"/>
      <c r="S647" s="3" t="str">
        <f t="shared" si="29"/>
        <v>Dec 10</v>
      </c>
    </row>
    <row r="648" spans="1:19" ht="26.25" x14ac:dyDescent="0.25">
      <c r="A648" s="1">
        <v>40887</v>
      </c>
      <c r="B648" s="1">
        <v>40887</v>
      </c>
      <c r="C648" s="2">
        <f t="shared" si="28"/>
        <v>1</v>
      </c>
      <c r="D648" s="6" t="s">
        <v>2591</v>
      </c>
      <c r="E648" s="3" t="s">
        <v>2592</v>
      </c>
      <c r="F648" s="4" t="s">
        <v>58</v>
      </c>
      <c r="G648" s="3" t="s">
        <v>2593</v>
      </c>
      <c r="H648" s="3"/>
      <c r="I648" s="3" t="s">
        <v>2594</v>
      </c>
      <c r="J648" s="3" t="s">
        <v>61</v>
      </c>
      <c r="K648" s="3">
        <v>66401</v>
      </c>
      <c r="L648" s="3" t="s">
        <v>1607</v>
      </c>
      <c r="M648" s="3"/>
      <c r="N648" s="3"/>
      <c r="O648" s="3" t="s">
        <v>1901</v>
      </c>
      <c r="P648" s="3" t="s">
        <v>1902</v>
      </c>
      <c r="Q648" s="3" t="s">
        <v>67</v>
      </c>
      <c r="R648" s="3" t="s">
        <v>67</v>
      </c>
      <c r="S648" s="3" t="str">
        <f t="shared" si="29"/>
        <v>Dec 10</v>
      </c>
    </row>
    <row r="649" spans="1:19" ht="39" x14ac:dyDescent="0.25">
      <c r="A649" s="16">
        <v>40887</v>
      </c>
      <c r="B649" s="16">
        <v>40887</v>
      </c>
      <c r="C649" s="2">
        <f t="shared" si="28"/>
        <v>1</v>
      </c>
      <c r="D649" s="27" t="s">
        <v>2595</v>
      </c>
      <c r="E649" s="7" t="s">
        <v>2596</v>
      </c>
      <c r="F649" s="4" t="s">
        <v>58</v>
      </c>
      <c r="G649" s="7" t="s">
        <v>961</v>
      </c>
      <c r="H649" s="7" t="s">
        <v>2597</v>
      </c>
      <c r="I649" s="7" t="s">
        <v>963</v>
      </c>
      <c r="J649" s="7" t="s">
        <v>61</v>
      </c>
      <c r="K649" s="7">
        <v>67550</v>
      </c>
      <c r="L649" s="7" t="s">
        <v>964</v>
      </c>
      <c r="M649" s="7"/>
      <c r="N649" s="7"/>
      <c r="O649" s="7" t="s">
        <v>965</v>
      </c>
      <c r="P649" s="7" t="s">
        <v>966</v>
      </c>
      <c r="Q649" s="7" t="s">
        <v>67</v>
      </c>
      <c r="R649" s="7"/>
      <c r="S649" s="7" t="str">
        <f t="shared" si="29"/>
        <v>Dec 10</v>
      </c>
    </row>
    <row r="650" spans="1:19" ht="39" x14ac:dyDescent="0.25">
      <c r="A650" s="1">
        <v>40887</v>
      </c>
      <c r="B650" s="1">
        <v>40887</v>
      </c>
      <c r="C650" s="2">
        <f t="shared" si="28"/>
        <v>1</v>
      </c>
      <c r="D650" s="6" t="s">
        <v>2598</v>
      </c>
      <c r="E650" s="3" t="s">
        <v>2599</v>
      </c>
      <c r="F650" s="4" t="s">
        <v>58</v>
      </c>
      <c r="G650" s="3" t="s">
        <v>2454</v>
      </c>
      <c r="H650" s="3"/>
      <c r="I650" s="3" t="s">
        <v>978</v>
      </c>
      <c r="J650" s="3" t="s">
        <v>61</v>
      </c>
      <c r="K650" s="3">
        <v>67456</v>
      </c>
      <c r="L650" s="3" t="s">
        <v>979</v>
      </c>
      <c r="M650" s="3" t="s">
        <v>980</v>
      </c>
      <c r="N650" s="3"/>
      <c r="O650" s="3" t="s">
        <v>2600</v>
      </c>
      <c r="P650" s="3" t="s">
        <v>982</v>
      </c>
      <c r="Q650" s="3" t="s">
        <v>67</v>
      </c>
      <c r="R650" s="3"/>
      <c r="S650" s="3" t="str">
        <f t="shared" si="29"/>
        <v>Dec 10</v>
      </c>
    </row>
    <row r="651" spans="1:19" ht="39" x14ac:dyDescent="0.25">
      <c r="A651" s="1">
        <v>40887</v>
      </c>
      <c r="B651" s="1">
        <v>40887</v>
      </c>
      <c r="C651" s="2">
        <f t="shared" si="28"/>
        <v>1</v>
      </c>
      <c r="D651" s="6" t="s">
        <v>2444</v>
      </c>
      <c r="E651" s="3" t="s">
        <v>2445</v>
      </c>
      <c r="F651" s="4" t="s">
        <v>58</v>
      </c>
      <c r="G651" s="3" t="s">
        <v>2446</v>
      </c>
      <c r="H651" s="3"/>
      <c r="I651" s="3" t="s">
        <v>978</v>
      </c>
      <c r="J651" s="3" t="s">
        <v>61</v>
      </c>
      <c r="K651" s="3">
        <v>67456</v>
      </c>
      <c r="L651" s="3" t="s">
        <v>2447</v>
      </c>
      <c r="M651" s="3" t="s">
        <v>980</v>
      </c>
      <c r="N651" s="3"/>
      <c r="O651" s="3" t="s">
        <v>981</v>
      </c>
      <c r="P651" s="3" t="s">
        <v>982</v>
      </c>
      <c r="Q651" s="3" t="s">
        <v>67</v>
      </c>
      <c r="R651" s="3" t="s">
        <v>67</v>
      </c>
      <c r="S651" s="3" t="str">
        <f t="shared" si="29"/>
        <v>Dec 10</v>
      </c>
    </row>
    <row r="652" spans="1:19" ht="26.25" x14ac:dyDescent="0.25">
      <c r="A652" s="1">
        <v>40887</v>
      </c>
      <c r="B652" s="1">
        <v>40887</v>
      </c>
      <c r="C652" s="2">
        <f t="shared" si="28"/>
        <v>1</v>
      </c>
      <c r="D652" s="6" t="s">
        <v>2601</v>
      </c>
      <c r="E652" s="3" t="s">
        <v>2602</v>
      </c>
      <c r="F652" s="4" t="s">
        <v>58</v>
      </c>
      <c r="G652" s="3" t="s">
        <v>2603</v>
      </c>
      <c r="H652" s="3" t="s">
        <v>944</v>
      </c>
      <c r="I652" s="3" t="s">
        <v>227</v>
      </c>
      <c r="J652" s="3" t="s">
        <v>61</v>
      </c>
      <c r="K652" s="3">
        <v>67410</v>
      </c>
      <c r="L652" s="3" t="s">
        <v>2604</v>
      </c>
      <c r="M652" s="3"/>
      <c r="N652" s="3"/>
      <c r="O652" s="3"/>
      <c r="P652" s="3"/>
      <c r="Q652" s="3" t="s">
        <v>67</v>
      </c>
      <c r="R652" s="3" t="s">
        <v>67</v>
      </c>
      <c r="S652" s="3" t="str">
        <f t="shared" si="29"/>
        <v>Dec 10</v>
      </c>
    </row>
    <row r="653" spans="1:19" ht="26.25" x14ac:dyDescent="0.25">
      <c r="A653" s="1">
        <v>40887</v>
      </c>
      <c r="B653" s="1">
        <v>40887</v>
      </c>
      <c r="C653" s="2">
        <f t="shared" si="28"/>
        <v>1</v>
      </c>
      <c r="D653" s="6" t="s">
        <v>2605</v>
      </c>
      <c r="E653" s="3" t="s">
        <v>2606</v>
      </c>
      <c r="F653" s="4" t="s">
        <v>58</v>
      </c>
      <c r="G653" s="3" t="s">
        <v>1348</v>
      </c>
      <c r="H653" s="3" t="s">
        <v>2007</v>
      </c>
      <c r="I653" s="3" t="s">
        <v>105</v>
      </c>
      <c r="J653" s="3" t="s">
        <v>61</v>
      </c>
      <c r="K653" s="3">
        <v>66046</v>
      </c>
      <c r="L653" s="3" t="s">
        <v>1349</v>
      </c>
      <c r="M653" s="3"/>
      <c r="N653" s="3"/>
      <c r="O653" s="3"/>
      <c r="P653" s="3" t="s">
        <v>1350</v>
      </c>
      <c r="Q653" s="3" t="s">
        <v>67</v>
      </c>
      <c r="R653" s="3" t="s">
        <v>67</v>
      </c>
      <c r="S653" s="3" t="str">
        <f t="shared" si="29"/>
        <v>Dec 10</v>
      </c>
    </row>
    <row r="654" spans="1:19" ht="26.25" x14ac:dyDescent="0.25">
      <c r="A654" s="1">
        <v>40888</v>
      </c>
      <c r="B654" s="1">
        <v>40888</v>
      </c>
      <c r="C654" s="2">
        <f t="shared" si="28"/>
        <v>1</v>
      </c>
      <c r="D654" s="6" t="s">
        <v>2612</v>
      </c>
      <c r="E654" s="3" t="s">
        <v>2613</v>
      </c>
      <c r="F654" s="4" t="s">
        <v>58</v>
      </c>
      <c r="G654" s="3" t="s">
        <v>2614</v>
      </c>
      <c r="H654" s="3"/>
      <c r="I654" s="3" t="s">
        <v>993</v>
      </c>
      <c r="J654" s="3" t="s">
        <v>61</v>
      </c>
      <c r="K654" s="3">
        <v>66048</v>
      </c>
      <c r="L654" s="3" t="s">
        <v>2615</v>
      </c>
      <c r="M654" s="3"/>
      <c r="N654" s="3" t="s">
        <v>2616</v>
      </c>
      <c r="O654" s="3" t="s">
        <v>2617</v>
      </c>
      <c r="P654" s="3" t="s">
        <v>2618</v>
      </c>
      <c r="Q654" s="3" t="s">
        <v>67</v>
      </c>
      <c r="R654" s="3" t="s">
        <v>67</v>
      </c>
      <c r="S654" s="3" t="str">
        <f>"Dec 11"</f>
        <v>Dec 11</v>
      </c>
    </row>
    <row r="655" spans="1:19" ht="26.25" x14ac:dyDescent="0.25">
      <c r="A655" s="1">
        <v>40888</v>
      </c>
      <c r="B655" s="1">
        <v>40888</v>
      </c>
      <c r="C655" s="2">
        <f t="shared" si="28"/>
        <v>1</v>
      </c>
      <c r="D655" s="6" t="s">
        <v>2619</v>
      </c>
      <c r="E655" s="3" t="s">
        <v>2620</v>
      </c>
      <c r="F655" s="4" t="s">
        <v>58</v>
      </c>
      <c r="G655" s="3" t="s">
        <v>2621</v>
      </c>
      <c r="H655" s="3" t="s">
        <v>2622</v>
      </c>
      <c r="I655" s="3" t="s">
        <v>2623</v>
      </c>
      <c r="J655" s="3" t="s">
        <v>61</v>
      </c>
      <c r="K655" s="3">
        <v>67671</v>
      </c>
      <c r="L655" s="3" t="s">
        <v>2624</v>
      </c>
      <c r="M655" s="3"/>
      <c r="N655" s="3"/>
      <c r="O655" s="3" t="s">
        <v>2625</v>
      </c>
      <c r="P655" s="3" t="s">
        <v>2626</v>
      </c>
      <c r="Q655" s="3" t="s">
        <v>67</v>
      </c>
      <c r="R655" s="3"/>
      <c r="S655" s="3" t="str">
        <f>"Dec 11"</f>
        <v>Dec 11</v>
      </c>
    </row>
    <row r="656" spans="1:19" x14ac:dyDescent="0.25">
      <c r="A656" s="1">
        <v>40888</v>
      </c>
      <c r="B656" s="1">
        <v>40888</v>
      </c>
      <c r="C656" s="2">
        <f t="shared" si="28"/>
        <v>1</v>
      </c>
      <c r="D656" s="6" t="s">
        <v>1838</v>
      </c>
      <c r="E656" s="3" t="s">
        <v>997</v>
      </c>
      <c r="F656" s="4" t="s">
        <v>58</v>
      </c>
      <c r="G656" s="3" t="s">
        <v>619</v>
      </c>
      <c r="H656" s="3" t="s">
        <v>2080</v>
      </c>
      <c r="I656" s="3" t="s">
        <v>303</v>
      </c>
      <c r="J656" s="3" t="s">
        <v>61</v>
      </c>
      <c r="K656" s="3">
        <v>66502</v>
      </c>
      <c r="L656" s="3" t="s">
        <v>621</v>
      </c>
      <c r="M656" s="3" t="s">
        <v>622</v>
      </c>
      <c r="N656" s="3"/>
      <c r="O656" s="3"/>
      <c r="P656" s="3" t="s">
        <v>1840</v>
      </c>
      <c r="Q656" s="3" t="s">
        <v>67</v>
      </c>
      <c r="R656" s="3" t="s">
        <v>67</v>
      </c>
      <c r="S656" s="3" t="str">
        <f>"Dec 11"</f>
        <v>Dec 11</v>
      </c>
    </row>
    <row r="657" spans="1:19" ht="39" x14ac:dyDescent="0.25">
      <c r="A657" s="1">
        <v>40889</v>
      </c>
      <c r="B657" s="1">
        <v>40889</v>
      </c>
      <c r="C657" s="2">
        <f t="shared" si="28"/>
        <v>1</v>
      </c>
      <c r="D657" s="6" t="s">
        <v>2629</v>
      </c>
      <c r="E657" s="3" t="s">
        <v>759</v>
      </c>
      <c r="F657" s="4" t="s">
        <v>58</v>
      </c>
      <c r="G657" s="3" t="s">
        <v>760</v>
      </c>
      <c r="H657" s="3" t="s">
        <v>761</v>
      </c>
      <c r="I657" s="3" t="s">
        <v>448</v>
      </c>
      <c r="J657" s="3" t="s">
        <v>61</v>
      </c>
      <c r="K657" s="3">
        <v>67357</v>
      </c>
      <c r="L657" s="3" t="s">
        <v>762</v>
      </c>
      <c r="M657" s="3"/>
      <c r="N657" s="3"/>
      <c r="O657" s="3"/>
      <c r="P657" s="3" t="s">
        <v>763</v>
      </c>
      <c r="Q657" s="3"/>
      <c r="R657" s="3"/>
      <c r="S657" s="3" t="str">
        <f>"Dec 12"</f>
        <v>Dec 12</v>
      </c>
    </row>
    <row r="658" spans="1:19" ht="51.75" x14ac:dyDescent="0.25">
      <c r="A658" s="1">
        <v>40890</v>
      </c>
      <c r="B658" s="1">
        <v>40890</v>
      </c>
      <c r="C658" s="2">
        <f t="shared" si="28"/>
        <v>1</v>
      </c>
      <c r="D658" s="6" t="s">
        <v>2630</v>
      </c>
      <c r="E658" s="3" t="s">
        <v>2631</v>
      </c>
      <c r="F658" s="4" t="s">
        <v>58</v>
      </c>
      <c r="G658" s="3" t="s">
        <v>1127</v>
      </c>
      <c r="H658" s="3" t="s">
        <v>1128</v>
      </c>
      <c r="I658" s="3" t="s">
        <v>303</v>
      </c>
      <c r="J658" s="3" t="s">
        <v>61</v>
      </c>
      <c r="K658" s="3">
        <v>66502</v>
      </c>
      <c r="L658" s="3" t="s">
        <v>1129</v>
      </c>
      <c r="M658" s="3"/>
      <c r="N658" s="3"/>
      <c r="O658" s="3" t="s">
        <v>1130</v>
      </c>
      <c r="P658" s="3" t="s">
        <v>1197</v>
      </c>
      <c r="Q658" s="3" t="s">
        <v>67</v>
      </c>
      <c r="R658" s="3" t="s">
        <v>67</v>
      </c>
      <c r="S658" s="3" t="str">
        <f>"Dec 13"</f>
        <v>Dec 13</v>
      </c>
    </row>
    <row r="659" spans="1:19" ht="26.25" x14ac:dyDescent="0.25">
      <c r="A659" s="1">
        <v>40891</v>
      </c>
      <c r="B659" s="1">
        <v>40891</v>
      </c>
      <c r="C659" s="2">
        <f t="shared" si="28"/>
        <v>1</v>
      </c>
      <c r="D659" s="6" t="s">
        <v>2632</v>
      </c>
      <c r="E659" s="3" t="s">
        <v>2633</v>
      </c>
      <c r="F659" s="4" t="s">
        <v>58</v>
      </c>
      <c r="G659" s="3" t="s">
        <v>1348</v>
      </c>
      <c r="H659" s="3" t="s">
        <v>2007</v>
      </c>
      <c r="I659" s="3" t="s">
        <v>105</v>
      </c>
      <c r="J659" s="3" t="s">
        <v>61</v>
      </c>
      <c r="K659" s="3">
        <v>66046</v>
      </c>
      <c r="L659" s="3" t="s">
        <v>1349</v>
      </c>
      <c r="M659" s="3"/>
      <c r="N659" s="3"/>
      <c r="O659" s="3"/>
      <c r="P659" s="3" t="s">
        <v>1350</v>
      </c>
      <c r="Q659" s="3" t="s">
        <v>67</v>
      </c>
      <c r="R659" s="3" t="s">
        <v>67</v>
      </c>
      <c r="S659" s="3" t="str">
        <f>"Dec 14"</f>
        <v>Dec 14</v>
      </c>
    </row>
    <row r="660" spans="1:19" ht="26.25" x14ac:dyDescent="0.25">
      <c r="A660" s="1">
        <v>40892</v>
      </c>
      <c r="B660" s="1">
        <v>40892</v>
      </c>
      <c r="C660" s="2">
        <f t="shared" si="28"/>
        <v>1</v>
      </c>
      <c r="D660" s="6" t="s">
        <v>2634</v>
      </c>
      <c r="E660" s="3" t="s">
        <v>2635</v>
      </c>
      <c r="F660" s="4" t="s">
        <v>58</v>
      </c>
      <c r="G660" s="3" t="s">
        <v>1554</v>
      </c>
      <c r="H660" s="3" t="s">
        <v>473</v>
      </c>
      <c r="I660" s="3" t="s">
        <v>193</v>
      </c>
      <c r="J660" s="3" t="s">
        <v>61</v>
      </c>
      <c r="K660" s="3">
        <v>67530</v>
      </c>
      <c r="L660" s="3" t="s">
        <v>474</v>
      </c>
      <c r="M660" s="3"/>
      <c r="N660" s="3"/>
      <c r="O660" s="3" t="s">
        <v>475</v>
      </c>
      <c r="P660" s="3" t="s">
        <v>1556</v>
      </c>
      <c r="Q660" s="3" t="s">
        <v>67</v>
      </c>
      <c r="R660" s="3"/>
      <c r="S660" s="3" t="str">
        <f>"Dec 15"</f>
        <v>Dec 15</v>
      </c>
    </row>
    <row r="661" spans="1:19" x14ac:dyDescent="0.25">
      <c r="A661" s="1">
        <v>40899</v>
      </c>
      <c r="B661" s="1">
        <v>40899</v>
      </c>
      <c r="C661" s="2">
        <f t="shared" si="28"/>
        <v>1</v>
      </c>
      <c r="D661" s="6" t="s">
        <v>2657</v>
      </c>
      <c r="E661" s="3" t="s">
        <v>2657</v>
      </c>
      <c r="F661" s="4" t="s">
        <v>58</v>
      </c>
      <c r="G661" s="3" t="s">
        <v>837</v>
      </c>
      <c r="H661" s="3"/>
      <c r="I661" s="3" t="s">
        <v>60</v>
      </c>
      <c r="J661" s="3" t="s">
        <v>61</v>
      </c>
      <c r="K661" s="3">
        <v>66603</v>
      </c>
      <c r="L661" s="3" t="s">
        <v>838</v>
      </c>
      <c r="M661" s="3"/>
      <c r="N661" s="3"/>
      <c r="O661" s="3"/>
      <c r="P661" s="3" t="s">
        <v>839</v>
      </c>
      <c r="Q661" s="3" t="s">
        <v>67</v>
      </c>
      <c r="R661" s="3" t="s">
        <v>67</v>
      </c>
      <c r="S661" s="3" t="str">
        <f>"Dec 22"</f>
        <v>Dec 22</v>
      </c>
    </row>
    <row r="662" spans="1:19" ht="26.25" x14ac:dyDescent="0.25">
      <c r="A662" s="1">
        <v>40900</v>
      </c>
      <c r="B662" s="1">
        <v>40900</v>
      </c>
      <c r="C662" s="2">
        <f t="shared" si="28"/>
        <v>1</v>
      </c>
      <c r="D662" s="6" t="s">
        <v>2658</v>
      </c>
      <c r="E662" s="3" t="s">
        <v>2659</v>
      </c>
      <c r="F662" s="4" t="s">
        <v>58</v>
      </c>
      <c r="G662" s="3" t="s">
        <v>2660</v>
      </c>
      <c r="H662" s="3" t="s">
        <v>2661</v>
      </c>
      <c r="I662" s="3" t="s">
        <v>85</v>
      </c>
      <c r="J662" s="3" t="s">
        <v>61</v>
      </c>
      <c r="K662" s="3">
        <v>67502</v>
      </c>
      <c r="L662" s="3" t="s">
        <v>2662</v>
      </c>
      <c r="M662" s="3"/>
      <c r="N662" s="3"/>
      <c r="O662" s="3" t="s">
        <v>2663</v>
      </c>
      <c r="P662" s="3"/>
      <c r="Q662" s="3" t="s">
        <v>67</v>
      </c>
      <c r="R662" s="3"/>
      <c r="S662" s="3" t="str">
        <f>"Dec 23"</f>
        <v>Dec 23</v>
      </c>
    </row>
    <row r="663" spans="1:19" ht="26.25" x14ac:dyDescent="0.25">
      <c r="A663" s="1">
        <v>40902</v>
      </c>
      <c r="B663" s="1">
        <v>40902</v>
      </c>
      <c r="C663" s="2">
        <f t="shared" si="28"/>
        <v>1</v>
      </c>
      <c r="D663" s="6" t="s">
        <v>2664</v>
      </c>
      <c r="E663" s="3" t="s">
        <v>2665</v>
      </c>
      <c r="F663" s="4" t="s">
        <v>58</v>
      </c>
      <c r="G663" s="3" t="s">
        <v>2666</v>
      </c>
      <c r="H663" s="3" t="s">
        <v>2667</v>
      </c>
      <c r="I663" s="3" t="s">
        <v>978</v>
      </c>
      <c r="J663" s="3" t="s">
        <v>61</v>
      </c>
      <c r="K663" s="3">
        <v>67456</v>
      </c>
      <c r="L663" s="3" t="s">
        <v>979</v>
      </c>
      <c r="M663" s="3" t="s">
        <v>980</v>
      </c>
      <c r="N663" s="3"/>
      <c r="O663" s="3" t="s">
        <v>981</v>
      </c>
      <c r="P663" s="3" t="s">
        <v>982</v>
      </c>
      <c r="Q663" s="3" t="s">
        <v>67</v>
      </c>
      <c r="R663" s="3"/>
      <c r="S663" s="3" t="str">
        <f>"Dec 25"</f>
        <v>Dec 25</v>
      </c>
    </row>
    <row r="664" spans="1:19" x14ac:dyDescent="0.25">
      <c r="A664" s="1">
        <v>40903</v>
      </c>
      <c r="B664" s="1">
        <v>40903</v>
      </c>
      <c r="C664" s="2">
        <f t="shared" si="28"/>
        <v>1</v>
      </c>
      <c r="D664" s="6" t="s">
        <v>2668</v>
      </c>
      <c r="E664" s="3" t="s">
        <v>2669</v>
      </c>
      <c r="F664" s="4" t="s">
        <v>58</v>
      </c>
      <c r="G664" s="3" t="s">
        <v>2670</v>
      </c>
      <c r="H664" s="3"/>
      <c r="I664" s="3" t="s">
        <v>978</v>
      </c>
      <c r="J664" s="3" t="s">
        <v>61</v>
      </c>
      <c r="K664" s="3">
        <v>67456</v>
      </c>
      <c r="L664" s="3" t="s">
        <v>2671</v>
      </c>
      <c r="M664" s="3" t="s">
        <v>980</v>
      </c>
      <c r="N664" s="3"/>
      <c r="O664" s="3" t="s">
        <v>981</v>
      </c>
      <c r="P664" s="3" t="s">
        <v>982</v>
      </c>
      <c r="Q664" s="3" t="s">
        <v>67</v>
      </c>
      <c r="R664" s="3"/>
      <c r="S664" s="3" t="str">
        <f>"Dec 26"</f>
        <v>Dec 26</v>
      </c>
    </row>
    <row r="665" spans="1:19" x14ac:dyDescent="0.25">
      <c r="A665" s="1">
        <v>40908</v>
      </c>
      <c r="B665" s="1">
        <v>40908</v>
      </c>
      <c r="C665" s="2">
        <f t="shared" si="28"/>
        <v>1</v>
      </c>
      <c r="D665" s="6" t="s">
        <v>1838</v>
      </c>
      <c r="E665" s="3" t="s">
        <v>1969</v>
      </c>
      <c r="F665" s="4" t="s">
        <v>58</v>
      </c>
      <c r="G665" s="3" t="s">
        <v>619</v>
      </c>
      <c r="H665" s="3" t="s">
        <v>2080</v>
      </c>
      <c r="I665" s="3" t="s">
        <v>303</v>
      </c>
      <c r="J665" s="3" t="s">
        <v>61</v>
      </c>
      <c r="K665" s="3">
        <v>66502</v>
      </c>
      <c r="L665" s="3" t="s">
        <v>621</v>
      </c>
      <c r="M665" s="3" t="s">
        <v>622</v>
      </c>
      <c r="N665" s="3"/>
      <c r="O665" s="3"/>
      <c r="P665" s="3" t="s">
        <v>1840</v>
      </c>
      <c r="Q665" s="3" t="s">
        <v>67</v>
      </c>
      <c r="R665" s="3" t="s">
        <v>67</v>
      </c>
      <c r="S665" s="3" t="str">
        <f>"Dec 31"</f>
        <v>Dec 31</v>
      </c>
    </row>
    <row r="666" spans="1:19" x14ac:dyDescent="0.25">
      <c r="A666" s="1">
        <v>40908</v>
      </c>
      <c r="B666" s="1">
        <v>40908</v>
      </c>
      <c r="C666" s="2">
        <f t="shared" si="28"/>
        <v>1</v>
      </c>
      <c r="D666" s="6" t="s">
        <v>897</v>
      </c>
      <c r="E666" s="3" t="s">
        <v>897</v>
      </c>
      <c r="F666" s="4" t="s">
        <v>58</v>
      </c>
      <c r="G666" s="3" t="s">
        <v>297</v>
      </c>
      <c r="H666" s="3"/>
      <c r="I666" s="3" t="s">
        <v>60</v>
      </c>
      <c r="J666" s="3" t="s">
        <v>61</v>
      </c>
      <c r="K666" s="3">
        <v>66606</v>
      </c>
      <c r="L666" s="3" t="s">
        <v>298</v>
      </c>
      <c r="M666" s="3"/>
      <c r="N666" s="3"/>
      <c r="O666" s="3"/>
      <c r="P666" s="3" t="s">
        <v>299</v>
      </c>
      <c r="Q666" s="3" t="s">
        <v>67</v>
      </c>
      <c r="R666" s="3" t="s">
        <v>67</v>
      </c>
      <c r="S666" s="3" t="str">
        <f>"Dec 31"</f>
        <v>Dec 31</v>
      </c>
    </row>
    <row r="667" spans="1:19" ht="39" x14ac:dyDescent="0.25">
      <c r="A667" s="1">
        <v>40908</v>
      </c>
      <c r="B667" s="1">
        <v>40908</v>
      </c>
      <c r="C667" s="2">
        <f t="shared" si="28"/>
        <v>1</v>
      </c>
      <c r="D667" s="6" t="s">
        <v>2673</v>
      </c>
      <c r="E667" s="3" t="s">
        <v>2674</v>
      </c>
      <c r="F667" s="4" t="s">
        <v>58</v>
      </c>
      <c r="G667" s="3" t="s">
        <v>2675</v>
      </c>
      <c r="H667" s="3" t="s">
        <v>1560</v>
      </c>
      <c r="I667" s="3" t="s">
        <v>303</v>
      </c>
      <c r="J667" s="3" t="s">
        <v>61</v>
      </c>
      <c r="K667" s="3">
        <v>66502</v>
      </c>
      <c r="L667" s="3" t="s">
        <v>2676</v>
      </c>
      <c r="M667" s="3"/>
      <c r="N667" s="3"/>
      <c r="O667" s="3" t="s">
        <v>2677</v>
      </c>
      <c r="P667" s="3" t="s">
        <v>2678</v>
      </c>
      <c r="Q667" s="3" t="s">
        <v>67</v>
      </c>
      <c r="R667" s="3"/>
      <c r="S667" s="3" t="str">
        <f>"Dec 31"</f>
        <v>Dec 31</v>
      </c>
    </row>
    <row r="668" spans="1:19" ht="39" x14ac:dyDescent="0.25">
      <c r="A668" s="1">
        <v>40908</v>
      </c>
      <c r="B668" s="1">
        <v>40908</v>
      </c>
      <c r="C668" s="2">
        <f t="shared" si="28"/>
        <v>1</v>
      </c>
      <c r="D668" s="6" t="s">
        <v>2679</v>
      </c>
      <c r="E668" s="3" t="s">
        <v>2680</v>
      </c>
      <c r="F668" s="4" t="s">
        <v>58</v>
      </c>
      <c r="G668" s="3" t="s">
        <v>2681</v>
      </c>
      <c r="H668" s="3"/>
      <c r="I668" s="3" t="s">
        <v>2682</v>
      </c>
      <c r="J668" s="3" t="s">
        <v>61</v>
      </c>
      <c r="K668" s="3">
        <v>67573</v>
      </c>
      <c r="L668" s="3" t="s">
        <v>2683</v>
      </c>
      <c r="M668" s="3"/>
      <c r="N668" s="3"/>
      <c r="O668" s="3"/>
      <c r="P668" s="3"/>
      <c r="Q668" s="3" t="s">
        <v>67</v>
      </c>
      <c r="R668" s="3"/>
      <c r="S668" s="3" t="str">
        <f>"Dec 31"</f>
        <v>Dec 31</v>
      </c>
    </row>
    <row r="669" spans="1:19" ht="26.25" x14ac:dyDescent="0.25">
      <c r="A669" s="1">
        <v>40916</v>
      </c>
      <c r="B669" s="1">
        <v>40916</v>
      </c>
      <c r="C669" s="2">
        <f t="shared" si="28"/>
        <v>1</v>
      </c>
      <c r="D669" s="6" t="s">
        <v>2690</v>
      </c>
      <c r="E669" s="3" t="s">
        <v>2691</v>
      </c>
      <c r="F669" s="4" t="s">
        <v>58</v>
      </c>
      <c r="G669" s="3" t="s">
        <v>1348</v>
      </c>
      <c r="H669" s="3" t="s">
        <v>2007</v>
      </c>
      <c r="I669" s="3" t="s">
        <v>105</v>
      </c>
      <c r="J669" s="3" t="s">
        <v>61</v>
      </c>
      <c r="K669" s="3">
        <v>66046</v>
      </c>
      <c r="L669" s="3" t="s">
        <v>1349</v>
      </c>
      <c r="M669" s="3"/>
      <c r="N669" s="3"/>
      <c r="O669" s="3"/>
      <c r="P669" s="3" t="s">
        <v>1350</v>
      </c>
      <c r="Q669" s="3" t="s">
        <v>67</v>
      </c>
      <c r="R669" s="3" t="s">
        <v>67</v>
      </c>
      <c r="S669" s="3" t="str">
        <f>"Jan 8"</f>
        <v>Jan 8</v>
      </c>
    </row>
    <row r="670" spans="1:19" ht="51.75" x14ac:dyDescent="0.25">
      <c r="A670" s="1">
        <v>40920</v>
      </c>
      <c r="B670" s="1">
        <v>40920</v>
      </c>
      <c r="C670" s="2">
        <f t="shared" si="28"/>
        <v>1</v>
      </c>
      <c r="D670" s="6" t="s">
        <v>2692</v>
      </c>
      <c r="E670" s="3" t="s">
        <v>2693</v>
      </c>
      <c r="F670" s="4" t="s">
        <v>58</v>
      </c>
      <c r="G670" s="3" t="s">
        <v>837</v>
      </c>
      <c r="H670" s="3"/>
      <c r="I670" s="3" t="s">
        <v>60</v>
      </c>
      <c r="J670" s="3" t="s">
        <v>61</v>
      </c>
      <c r="K670" s="3">
        <v>66603</v>
      </c>
      <c r="L670" s="3" t="s">
        <v>838</v>
      </c>
      <c r="M670" s="3"/>
      <c r="N670" s="3"/>
      <c r="O670" s="3"/>
      <c r="P670" s="3" t="s">
        <v>839</v>
      </c>
      <c r="Q670" s="3" t="s">
        <v>67</v>
      </c>
      <c r="R670" s="3" t="s">
        <v>67</v>
      </c>
      <c r="S670" s="3" t="str">
        <f>"Jan 12"</f>
        <v>Jan 12</v>
      </c>
    </row>
    <row r="671" spans="1:19" ht="26.25" x14ac:dyDescent="0.25">
      <c r="A671" s="1">
        <v>40922</v>
      </c>
      <c r="B671" s="1">
        <v>40922</v>
      </c>
      <c r="C671" s="2">
        <f t="shared" si="28"/>
        <v>1</v>
      </c>
      <c r="D671" s="6" t="s">
        <v>2697</v>
      </c>
      <c r="E671" s="3" t="s">
        <v>2698</v>
      </c>
      <c r="F671" s="4" t="s">
        <v>58</v>
      </c>
      <c r="G671" s="3" t="s">
        <v>551</v>
      </c>
      <c r="H671" s="3" t="s">
        <v>552</v>
      </c>
      <c r="I671" s="3" t="s">
        <v>60</v>
      </c>
      <c r="J671" s="3" t="s">
        <v>61</v>
      </c>
      <c r="K671" s="3">
        <v>66621</v>
      </c>
      <c r="L671" s="3" t="s">
        <v>553</v>
      </c>
      <c r="M671" s="3"/>
      <c r="N671" s="3"/>
      <c r="O671" s="3"/>
      <c r="P671" s="3" t="s">
        <v>554</v>
      </c>
      <c r="Q671" s="3" t="s">
        <v>67</v>
      </c>
      <c r="R671" s="3" t="s">
        <v>67</v>
      </c>
      <c r="S671" s="3" t="str">
        <f>"Jan 14"</f>
        <v>Jan 14</v>
      </c>
    </row>
    <row r="672" spans="1:19" x14ac:dyDescent="0.25">
      <c r="A672" s="1">
        <v>40922</v>
      </c>
      <c r="B672" s="1">
        <v>40922</v>
      </c>
      <c r="C672" s="2">
        <f t="shared" si="28"/>
        <v>1</v>
      </c>
      <c r="D672" s="6" t="s">
        <v>1292</v>
      </c>
      <c r="E672" s="3" t="s">
        <v>1292</v>
      </c>
      <c r="F672" s="4" t="s">
        <v>58</v>
      </c>
      <c r="G672" s="3" t="s">
        <v>297</v>
      </c>
      <c r="H672" s="3"/>
      <c r="I672" s="3" t="s">
        <v>60</v>
      </c>
      <c r="J672" s="3" t="s">
        <v>61</v>
      </c>
      <c r="K672" s="3">
        <v>66606</v>
      </c>
      <c r="L672" s="3" t="s">
        <v>298</v>
      </c>
      <c r="M672" s="3"/>
      <c r="N672" s="3"/>
      <c r="O672" s="3"/>
      <c r="P672" s="3" t="s">
        <v>299</v>
      </c>
      <c r="Q672" s="3" t="s">
        <v>67</v>
      </c>
      <c r="R672" s="3" t="s">
        <v>67</v>
      </c>
      <c r="S672" s="3" t="str">
        <f>"Jan 14"</f>
        <v>Jan 14</v>
      </c>
    </row>
    <row r="673" spans="1:19" ht="39" x14ac:dyDescent="0.25">
      <c r="A673" s="1">
        <v>40922</v>
      </c>
      <c r="B673" s="1">
        <v>40922</v>
      </c>
      <c r="C673" s="2">
        <f t="shared" si="28"/>
        <v>1</v>
      </c>
      <c r="D673" s="6" t="s">
        <v>2699</v>
      </c>
      <c r="E673" s="3" t="s">
        <v>2700</v>
      </c>
      <c r="F673" s="4" t="s">
        <v>58</v>
      </c>
      <c r="G673" s="3" t="s">
        <v>1856</v>
      </c>
      <c r="H673" s="3" t="s">
        <v>1857</v>
      </c>
      <c r="I673" s="3" t="s">
        <v>85</v>
      </c>
      <c r="J673" s="3" t="s">
        <v>61</v>
      </c>
      <c r="K673" s="3">
        <v>67501</v>
      </c>
      <c r="L673" s="3" t="s">
        <v>1858</v>
      </c>
      <c r="M673" s="3" t="s">
        <v>1859</v>
      </c>
      <c r="N673" s="3"/>
      <c r="O673" s="3" t="s">
        <v>1860</v>
      </c>
      <c r="P673" s="3" t="s">
        <v>1861</v>
      </c>
      <c r="Q673" s="3" t="s">
        <v>67</v>
      </c>
      <c r="R673" s="3" t="s">
        <v>67</v>
      </c>
      <c r="S673" s="3" t="str">
        <f>"Jan 14"</f>
        <v>Jan 14</v>
      </c>
    </row>
    <row r="674" spans="1:19" ht="26.25" x14ac:dyDescent="0.25">
      <c r="A674" s="1">
        <v>40923</v>
      </c>
      <c r="B674" s="1">
        <v>40923</v>
      </c>
      <c r="C674" s="2">
        <f t="shared" si="28"/>
        <v>1</v>
      </c>
      <c r="D674" s="6" t="s">
        <v>2701</v>
      </c>
      <c r="E674" s="3" t="s">
        <v>2702</v>
      </c>
      <c r="F674" s="4" t="s">
        <v>58</v>
      </c>
      <c r="G674" s="3" t="s">
        <v>2703</v>
      </c>
      <c r="H674" s="3" t="s">
        <v>2704</v>
      </c>
      <c r="I674" s="3" t="s">
        <v>865</v>
      </c>
      <c r="J674" s="3" t="s">
        <v>61</v>
      </c>
      <c r="K674" s="3">
        <v>67601</v>
      </c>
      <c r="L674" s="3" t="s">
        <v>2705</v>
      </c>
      <c r="M674" s="3"/>
      <c r="N674" s="3"/>
      <c r="O674" s="3" t="s">
        <v>2706</v>
      </c>
      <c r="P674" s="3" t="s">
        <v>2707</v>
      </c>
      <c r="Q674" s="3" t="s">
        <v>67</v>
      </c>
      <c r="R674" s="3" t="s">
        <v>67</v>
      </c>
      <c r="S674" s="3" t="str">
        <f>"Jan 15"</f>
        <v>Jan 15</v>
      </c>
    </row>
    <row r="675" spans="1:19" ht="39" x14ac:dyDescent="0.25">
      <c r="A675" s="1">
        <v>40923</v>
      </c>
      <c r="B675" s="1">
        <v>40923</v>
      </c>
      <c r="C675" s="2">
        <f t="shared" si="28"/>
        <v>1</v>
      </c>
      <c r="D675" s="6" t="s">
        <v>2708</v>
      </c>
      <c r="E675" s="3" t="s">
        <v>2709</v>
      </c>
      <c r="F675" s="4" t="s">
        <v>58</v>
      </c>
      <c r="G675" s="3" t="s">
        <v>2710</v>
      </c>
      <c r="H675" s="3"/>
      <c r="I675" s="3" t="s">
        <v>261</v>
      </c>
      <c r="J675" s="3" t="s">
        <v>61</v>
      </c>
      <c r="K675" s="3">
        <v>67042</v>
      </c>
      <c r="L675" s="3" t="s">
        <v>2711</v>
      </c>
      <c r="M675" s="3"/>
      <c r="N675" s="3"/>
      <c r="O675" s="3"/>
      <c r="P675" s="3"/>
      <c r="Q675" s="3" t="s">
        <v>67</v>
      </c>
      <c r="R675" s="3"/>
      <c r="S675" s="3" t="str">
        <f>"Jan 15"</f>
        <v>Jan 15</v>
      </c>
    </row>
    <row r="676" spans="1:19" ht="39" x14ac:dyDescent="0.25">
      <c r="A676" s="1">
        <v>40927</v>
      </c>
      <c r="B676" s="1">
        <v>40927</v>
      </c>
      <c r="C676" s="2">
        <f t="shared" si="28"/>
        <v>1</v>
      </c>
      <c r="D676" s="6" t="s">
        <v>2712</v>
      </c>
      <c r="E676" s="3" t="s">
        <v>2713</v>
      </c>
      <c r="F676" s="4" t="s">
        <v>58</v>
      </c>
      <c r="G676" s="3" t="s">
        <v>1127</v>
      </c>
      <c r="H676" s="3" t="s">
        <v>1128</v>
      </c>
      <c r="I676" s="3" t="s">
        <v>303</v>
      </c>
      <c r="J676" s="3" t="s">
        <v>61</v>
      </c>
      <c r="K676" s="3">
        <v>66502</v>
      </c>
      <c r="L676" s="3" t="s">
        <v>1129</v>
      </c>
      <c r="M676" s="3"/>
      <c r="N676" s="3"/>
      <c r="O676" s="3" t="s">
        <v>1130</v>
      </c>
      <c r="P676" s="3" t="s">
        <v>1197</v>
      </c>
      <c r="Q676" s="3" t="s">
        <v>67</v>
      </c>
      <c r="R676" s="3" t="s">
        <v>67</v>
      </c>
      <c r="S676" s="3" t="str">
        <f>"Jan 19"</f>
        <v>Jan 19</v>
      </c>
    </row>
    <row r="677" spans="1:19" ht="39" x14ac:dyDescent="0.25">
      <c r="A677" s="1">
        <v>40928</v>
      </c>
      <c r="B677" s="1">
        <v>40928</v>
      </c>
      <c r="C677" s="2">
        <f t="shared" si="28"/>
        <v>1</v>
      </c>
      <c r="D677" s="6" t="s">
        <v>2716</v>
      </c>
      <c r="E677" s="3" t="s">
        <v>2717</v>
      </c>
      <c r="F677" s="4" t="s">
        <v>58</v>
      </c>
      <c r="G677" s="3" t="s">
        <v>2718</v>
      </c>
      <c r="H677" s="3" t="s">
        <v>2719</v>
      </c>
      <c r="I677" s="3" t="s">
        <v>865</v>
      </c>
      <c r="J677" s="3" t="s">
        <v>61</v>
      </c>
      <c r="K677" s="3">
        <v>67601</v>
      </c>
      <c r="L677" s="3" t="s">
        <v>2720</v>
      </c>
      <c r="M677" s="3"/>
      <c r="N677" s="3" t="s">
        <v>2721</v>
      </c>
      <c r="O677" s="3" t="s">
        <v>2722</v>
      </c>
      <c r="P677" s="3" t="s">
        <v>2626</v>
      </c>
      <c r="Q677" s="3" t="s">
        <v>67</v>
      </c>
      <c r="R677" s="3" t="s">
        <v>67</v>
      </c>
      <c r="S677" s="3" t="str">
        <f>"Jan 20"</f>
        <v>Jan 20</v>
      </c>
    </row>
    <row r="678" spans="1:19" x14ac:dyDescent="0.25">
      <c r="A678" s="1">
        <v>40928</v>
      </c>
      <c r="B678" s="1">
        <v>40928</v>
      </c>
      <c r="C678" s="2">
        <f t="shared" si="28"/>
        <v>1</v>
      </c>
      <c r="D678" s="6" t="s">
        <v>2723</v>
      </c>
      <c r="E678" s="3" t="s">
        <v>1564</v>
      </c>
      <c r="F678" s="4" t="s">
        <v>58</v>
      </c>
      <c r="G678" s="3" t="s">
        <v>297</v>
      </c>
      <c r="H678" s="3"/>
      <c r="I678" s="3" t="s">
        <v>60</v>
      </c>
      <c r="J678" s="3" t="s">
        <v>61</v>
      </c>
      <c r="K678" s="3">
        <v>66606</v>
      </c>
      <c r="L678" s="3" t="s">
        <v>298</v>
      </c>
      <c r="M678" s="3"/>
      <c r="N678" s="3"/>
      <c r="O678" s="3"/>
      <c r="P678" s="3" t="s">
        <v>299</v>
      </c>
      <c r="Q678" s="3" t="s">
        <v>67</v>
      </c>
      <c r="R678" s="3" t="s">
        <v>67</v>
      </c>
      <c r="S678" s="3" t="str">
        <f>"Jan 20"</f>
        <v>Jan 20</v>
      </c>
    </row>
    <row r="679" spans="1:19" x14ac:dyDescent="0.25">
      <c r="A679" s="1">
        <v>40929</v>
      </c>
      <c r="B679" s="1">
        <v>40929</v>
      </c>
      <c r="C679" s="2">
        <f t="shared" si="28"/>
        <v>1</v>
      </c>
      <c r="D679" s="6" t="s">
        <v>1636</v>
      </c>
      <c r="E679" s="3" t="s">
        <v>1636</v>
      </c>
      <c r="F679" s="4" t="s">
        <v>58</v>
      </c>
      <c r="G679" s="3" t="s">
        <v>297</v>
      </c>
      <c r="H679" s="3"/>
      <c r="I679" s="3" t="s">
        <v>60</v>
      </c>
      <c r="J679" s="3" t="s">
        <v>61</v>
      </c>
      <c r="K679" s="3">
        <v>66605</v>
      </c>
      <c r="L679" s="3" t="s">
        <v>298</v>
      </c>
      <c r="M679" s="3"/>
      <c r="N679" s="3"/>
      <c r="O679" s="3"/>
      <c r="P679" s="3" t="s">
        <v>299</v>
      </c>
      <c r="Q679" s="3" t="s">
        <v>67</v>
      </c>
      <c r="R679" s="3" t="s">
        <v>67</v>
      </c>
      <c r="S679" s="3" t="str">
        <f>"Jan 21"</f>
        <v>Jan 21</v>
      </c>
    </row>
    <row r="680" spans="1:19" ht="26.25" x14ac:dyDescent="0.25">
      <c r="A680" s="1">
        <v>40932</v>
      </c>
      <c r="B680" s="1">
        <v>40932</v>
      </c>
      <c r="C680" s="2">
        <f t="shared" si="28"/>
        <v>1</v>
      </c>
      <c r="D680" s="6" t="s">
        <v>2731</v>
      </c>
      <c r="E680" s="3" t="s">
        <v>2732</v>
      </c>
      <c r="F680" s="4" t="s">
        <v>58</v>
      </c>
      <c r="G680" s="3" t="s">
        <v>1178</v>
      </c>
      <c r="H680" s="3" t="s">
        <v>2718</v>
      </c>
      <c r="I680" s="3" t="s">
        <v>865</v>
      </c>
      <c r="J680" s="3" t="s">
        <v>61</v>
      </c>
      <c r="K680" s="3">
        <v>67601</v>
      </c>
      <c r="L680" s="3" t="s">
        <v>2733</v>
      </c>
      <c r="M680" s="3"/>
      <c r="N680" s="3" t="s">
        <v>2734</v>
      </c>
      <c r="O680" s="3" t="s">
        <v>2735</v>
      </c>
      <c r="P680" s="3" t="s">
        <v>2736</v>
      </c>
      <c r="Q680" s="3" t="s">
        <v>67</v>
      </c>
      <c r="R680" s="3" t="s">
        <v>67</v>
      </c>
      <c r="S680" s="3" t="str">
        <f>"Jan 24"</f>
        <v>Jan 24</v>
      </c>
    </row>
    <row r="681" spans="1:19" ht="26.25" x14ac:dyDescent="0.25">
      <c r="A681" s="1">
        <v>40934</v>
      </c>
      <c r="B681" s="1">
        <v>40934</v>
      </c>
      <c r="C681" s="2">
        <f t="shared" si="28"/>
        <v>1</v>
      </c>
      <c r="D681" s="6" t="s">
        <v>2737</v>
      </c>
      <c r="E681" s="3" t="s">
        <v>2738</v>
      </c>
      <c r="F681" s="4" t="s">
        <v>58</v>
      </c>
      <c r="G681" s="3" t="s">
        <v>1127</v>
      </c>
      <c r="H681" s="3"/>
      <c r="I681" s="3" t="s">
        <v>303</v>
      </c>
      <c r="J681" s="3" t="s">
        <v>61</v>
      </c>
      <c r="K681" s="3">
        <v>66502</v>
      </c>
      <c r="L681" s="3" t="s">
        <v>1129</v>
      </c>
      <c r="M681" s="3"/>
      <c r="N681" s="3"/>
      <c r="O681" s="3" t="s">
        <v>1130</v>
      </c>
      <c r="P681" s="3" t="s">
        <v>1197</v>
      </c>
      <c r="Q681" s="3" t="s">
        <v>67</v>
      </c>
      <c r="R681" s="3" t="s">
        <v>67</v>
      </c>
      <c r="S681" s="3" t="str">
        <f>"Jan 26"</f>
        <v>Jan 26</v>
      </c>
    </row>
    <row r="682" spans="1:19" ht="26.25" x14ac:dyDescent="0.25">
      <c r="A682" s="1">
        <v>40936</v>
      </c>
      <c r="B682" s="1">
        <v>40936</v>
      </c>
      <c r="C682" s="2">
        <f t="shared" si="28"/>
        <v>1</v>
      </c>
      <c r="D682" s="6" t="s">
        <v>2746</v>
      </c>
      <c r="E682" s="3" t="s">
        <v>2747</v>
      </c>
      <c r="F682" s="4" t="s">
        <v>58</v>
      </c>
      <c r="G682" s="3" t="s">
        <v>2748</v>
      </c>
      <c r="H682" s="3" t="s">
        <v>2749</v>
      </c>
      <c r="I682" s="3" t="s">
        <v>105</v>
      </c>
      <c r="J682" s="3" t="s">
        <v>61</v>
      </c>
      <c r="K682" s="3">
        <v>66049</v>
      </c>
      <c r="L682" s="3" t="s">
        <v>2750</v>
      </c>
      <c r="M682" s="3"/>
      <c r="N682" s="3"/>
      <c r="O682" s="3"/>
      <c r="P682" s="3" t="s">
        <v>2751</v>
      </c>
      <c r="Q682" s="3" t="s">
        <v>67</v>
      </c>
      <c r="R682" s="3"/>
      <c r="S682" s="3" t="str">
        <f>"Jan 28"</f>
        <v>Jan 28</v>
      </c>
    </row>
    <row r="683" spans="1:19" ht="26.25" x14ac:dyDescent="0.25">
      <c r="A683" s="1">
        <v>40936</v>
      </c>
      <c r="B683" s="1">
        <v>40936</v>
      </c>
      <c r="C683" s="2">
        <f t="shared" si="28"/>
        <v>1</v>
      </c>
      <c r="D683" s="6" t="s">
        <v>2752</v>
      </c>
      <c r="E683" s="3" t="s">
        <v>2753</v>
      </c>
      <c r="F683" s="4" t="s">
        <v>58</v>
      </c>
      <c r="G683" s="3" t="s">
        <v>2754</v>
      </c>
      <c r="H683" s="3" t="s">
        <v>2755</v>
      </c>
      <c r="I683" s="3" t="s">
        <v>1446</v>
      </c>
      <c r="J683" s="3" t="s">
        <v>61</v>
      </c>
      <c r="K683" s="3">
        <v>66071</v>
      </c>
      <c r="L683" s="3" t="s">
        <v>2756</v>
      </c>
      <c r="M683" s="3"/>
      <c r="N683" s="3"/>
      <c r="O683" s="3" t="s">
        <v>2757</v>
      </c>
      <c r="P683" s="3" t="s">
        <v>2758</v>
      </c>
      <c r="Q683" s="3" t="s">
        <v>67</v>
      </c>
      <c r="R683" s="3"/>
      <c r="S683" s="3" t="str">
        <f>"Jan 28"</f>
        <v>Jan 28</v>
      </c>
    </row>
    <row r="684" spans="1:19" ht="26.25" x14ac:dyDescent="0.25">
      <c r="A684" s="1">
        <v>40936</v>
      </c>
      <c r="B684" s="1">
        <v>40936</v>
      </c>
      <c r="C684" s="2">
        <f t="shared" si="28"/>
        <v>1</v>
      </c>
      <c r="D684" s="6" t="s">
        <v>2759</v>
      </c>
      <c r="E684" s="3" t="s">
        <v>2760</v>
      </c>
      <c r="F684" s="4" t="s">
        <v>58</v>
      </c>
      <c r="G684" s="3" t="s">
        <v>1091</v>
      </c>
      <c r="H684" s="3" t="s">
        <v>1092</v>
      </c>
      <c r="I684" s="3" t="s">
        <v>963</v>
      </c>
      <c r="J684" s="3" t="s">
        <v>61</v>
      </c>
      <c r="K684" s="3">
        <v>67550</v>
      </c>
      <c r="L684" s="3" t="s">
        <v>1093</v>
      </c>
      <c r="M684" s="3"/>
      <c r="N684" s="3" t="s">
        <v>1094</v>
      </c>
      <c r="O684" s="3" t="s">
        <v>1095</v>
      </c>
      <c r="P684" s="3" t="s">
        <v>1096</v>
      </c>
      <c r="Q684" s="3" t="s">
        <v>67</v>
      </c>
      <c r="R684" s="3"/>
      <c r="S684" s="3" t="str">
        <f>"Jan 28"</f>
        <v>Jan 28</v>
      </c>
    </row>
    <row r="685" spans="1:19" ht="26.25" x14ac:dyDescent="0.25">
      <c r="A685" s="1">
        <v>40936</v>
      </c>
      <c r="B685" s="1">
        <v>40936</v>
      </c>
      <c r="C685" s="2">
        <f t="shared" si="28"/>
        <v>1</v>
      </c>
      <c r="D685" s="6" t="s">
        <v>2761</v>
      </c>
      <c r="E685" s="3" t="s">
        <v>2762</v>
      </c>
      <c r="F685" s="4" t="s">
        <v>58</v>
      </c>
      <c r="G685" s="3" t="s">
        <v>2763</v>
      </c>
      <c r="H685" s="3" t="s">
        <v>2347</v>
      </c>
      <c r="I685" s="3" t="s">
        <v>227</v>
      </c>
      <c r="J685" s="3" t="s">
        <v>61</v>
      </c>
      <c r="K685" s="3">
        <v>67410</v>
      </c>
      <c r="L685" s="3" t="s">
        <v>539</v>
      </c>
      <c r="M685" s="3"/>
      <c r="N685" s="3"/>
      <c r="O685" s="3" t="s">
        <v>540</v>
      </c>
      <c r="P685" s="3" t="s">
        <v>541</v>
      </c>
      <c r="Q685" s="3" t="s">
        <v>67</v>
      </c>
      <c r="R685" s="3" t="s">
        <v>67</v>
      </c>
      <c r="S685" s="3" t="str">
        <f>"Jan 28"</f>
        <v>Jan 28</v>
      </c>
    </row>
    <row r="686" spans="1:19" ht="26.25" x14ac:dyDescent="0.25">
      <c r="A686" s="1">
        <v>40937</v>
      </c>
      <c r="B686" s="1">
        <v>40937</v>
      </c>
      <c r="C686" s="2">
        <f t="shared" si="28"/>
        <v>1</v>
      </c>
      <c r="D686" s="6" t="s">
        <v>2764</v>
      </c>
      <c r="E686" s="3" t="s">
        <v>2765</v>
      </c>
      <c r="F686" s="4" t="s">
        <v>58</v>
      </c>
      <c r="G686" s="3" t="s">
        <v>1348</v>
      </c>
      <c r="H686" s="3" t="s">
        <v>2007</v>
      </c>
      <c r="I686" s="3" t="s">
        <v>105</v>
      </c>
      <c r="J686" s="3" t="s">
        <v>61</v>
      </c>
      <c r="K686" s="3">
        <v>66046</v>
      </c>
      <c r="L686" s="3" t="s">
        <v>1349</v>
      </c>
      <c r="M686" s="3"/>
      <c r="N686" s="3"/>
      <c r="O686" s="3"/>
      <c r="P686" s="3" t="s">
        <v>1350</v>
      </c>
      <c r="Q686" s="3" t="s">
        <v>67</v>
      </c>
      <c r="R686" s="3" t="s">
        <v>67</v>
      </c>
      <c r="S686" s="3" t="str">
        <f>"Jan 29"</f>
        <v>Jan 29</v>
      </c>
    </row>
    <row r="687" spans="1:19" ht="39" x14ac:dyDescent="0.25">
      <c r="A687" s="1">
        <v>40941</v>
      </c>
      <c r="B687" s="1">
        <v>40941</v>
      </c>
      <c r="C687" s="2">
        <f t="shared" si="28"/>
        <v>1</v>
      </c>
      <c r="D687" s="6" t="s">
        <v>2772</v>
      </c>
      <c r="E687" s="3" t="s">
        <v>2773</v>
      </c>
      <c r="F687" s="4" t="s">
        <v>58</v>
      </c>
      <c r="G687" s="3" t="s">
        <v>1348</v>
      </c>
      <c r="H687" s="3" t="s">
        <v>2007</v>
      </c>
      <c r="I687" s="3" t="s">
        <v>105</v>
      </c>
      <c r="J687" s="3" t="s">
        <v>61</v>
      </c>
      <c r="K687" s="3">
        <v>66046</v>
      </c>
      <c r="L687" s="3" t="s">
        <v>1349</v>
      </c>
      <c r="M687" s="3"/>
      <c r="N687" s="3"/>
      <c r="O687" s="3"/>
      <c r="P687" s="3" t="s">
        <v>1350</v>
      </c>
      <c r="Q687" s="3" t="s">
        <v>67</v>
      </c>
      <c r="R687" s="3" t="s">
        <v>67</v>
      </c>
      <c r="S687" s="3" t="str">
        <f>"Feb 2"</f>
        <v>Feb 2</v>
      </c>
    </row>
    <row r="688" spans="1:19" x14ac:dyDescent="0.25">
      <c r="A688" s="1">
        <v>40941</v>
      </c>
      <c r="B688" s="1">
        <v>40941</v>
      </c>
      <c r="C688" s="2">
        <f t="shared" si="28"/>
        <v>1</v>
      </c>
      <c r="D688" s="6" t="s">
        <v>2774</v>
      </c>
      <c r="E688" s="3" t="s">
        <v>2774</v>
      </c>
      <c r="F688" s="4" t="s">
        <v>58</v>
      </c>
      <c r="G688" s="3" t="s">
        <v>1327</v>
      </c>
      <c r="H688" s="3"/>
      <c r="I688" s="3" t="s">
        <v>60</v>
      </c>
      <c r="J688" s="3" t="s">
        <v>61</v>
      </c>
      <c r="K688" s="3">
        <v>66603</v>
      </c>
      <c r="L688" s="3" t="s">
        <v>1328</v>
      </c>
      <c r="M688" s="3"/>
      <c r="N688" s="3"/>
      <c r="O688" s="3"/>
      <c r="P688" s="3" t="s">
        <v>1329</v>
      </c>
      <c r="Q688" s="3" t="s">
        <v>67</v>
      </c>
      <c r="R688" s="3" t="s">
        <v>67</v>
      </c>
      <c r="S688" s="3" t="str">
        <f>"Feb 2"</f>
        <v>Feb 2</v>
      </c>
    </row>
    <row r="689" spans="1:19" ht="51.75" x14ac:dyDescent="0.25">
      <c r="A689" s="1">
        <v>40943</v>
      </c>
      <c r="B689" s="1">
        <v>40943</v>
      </c>
      <c r="C689" s="2">
        <f t="shared" si="28"/>
        <v>1</v>
      </c>
      <c r="D689" s="6" t="s">
        <v>2789</v>
      </c>
      <c r="E689" s="3" t="s">
        <v>2790</v>
      </c>
      <c r="F689" s="4" t="s">
        <v>58</v>
      </c>
      <c r="G689" s="3" t="s">
        <v>1178</v>
      </c>
      <c r="H689" s="3" t="s">
        <v>2718</v>
      </c>
      <c r="I689" s="3" t="s">
        <v>865</v>
      </c>
      <c r="J689" s="3" t="s">
        <v>61</v>
      </c>
      <c r="K689" s="3">
        <v>67601</v>
      </c>
      <c r="L689" s="3" t="s">
        <v>2720</v>
      </c>
      <c r="M689" s="3"/>
      <c r="N689" s="3" t="s">
        <v>2721</v>
      </c>
      <c r="O689" s="3" t="s">
        <v>2722</v>
      </c>
      <c r="P689" s="3" t="s">
        <v>2791</v>
      </c>
      <c r="Q689" s="3" t="s">
        <v>67</v>
      </c>
      <c r="R689" s="3" t="s">
        <v>67</v>
      </c>
      <c r="S689" s="3" t="str">
        <f>"Feb 4"</f>
        <v>Feb 4</v>
      </c>
    </row>
    <row r="690" spans="1:19" x14ac:dyDescent="0.25">
      <c r="A690" s="1">
        <v>40943</v>
      </c>
      <c r="B690" s="1">
        <v>40943</v>
      </c>
      <c r="C690" s="2">
        <f t="shared" si="28"/>
        <v>1</v>
      </c>
      <c r="D690" s="6" t="s">
        <v>2792</v>
      </c>
      <c r="E690" s="3" t="s">
        <v>2793</v>
      </c>
      <c r="F690" s="4" t="s">
        <v>58</v>
      </c>
      <c r="G690" s="3" t="s">
        <v>2141</v>
      </c>
      <c r="H690" s="3" t="s">
        <v>2142</v>
      </c>
      <c r="I690" s="3" t="s">
        <v>105</v>
      </c>
      <c r="J690" s="3" t="s">
        <v>61</v>
      </c>
      <c r="K690" s="3">
        <v>66044</v>
      </c>
      <c r="L690" s="3" t="s">
        <v>2143</v>
      </c>
      <c r="M690" s="3"/>
      <c r="N690" s="3"/>
      <c r="O690" s="3" t="s">
        <v>2419</v>
      </c>
      <c r="P690" s="3" t="s">
        <v>2420</v>
      </c>
      <c r="Q690" s="3" t="s">
        <v>67</v>
      </c>
      <c r="R690" s="3"/>
      <c r="S690" s="3" t="str">
        <f>"Feb 4"</f>
        <v>Feb 4</v>
      </c>
    </row>
    <row r="691" spans="1:19" ht="39" x14ac:dyDescent="0.25">
      <c r="A691" s="1">
        <v>40943</v>
      </c>
      <c r="B691" s="1">
        <v>40943</v>
      </c>
      <c r="C691" s="2">
        <f t="shared" si="28"/>
        <v>1</v>
      </c>
      <c r="D691" s="6" t="s">
        <v>2792</v>
      </c>
      <c r="E691" s="3" t="s">
        <v>2794</v>
      </c>
      <c r="F691" s="4" t="s">
        <v>58</v>
      </c>
      <c r="G691" s="3" t="s">
        <v>2141</v>
      </c>
      <c r="H691" s="3" t="s">
        <v>2142</v>
      </c>
      <c r="I691" s="3" t="s">
        <v>105</v>
      </c>
      <c r="J691" s="3" t="s">
        <v>61</v>
      </c>
      <c r="K691" s="3">
        <v>66044</v>
      </c>
      <c r="L691" s="3" t="s">
        <v>2143</v>
      </c>
      <c r="M691" s="3"/>
      <c r="N691" s="3"/>
      <c r="O691" s="3"/>
      <c r="P691" s="3"/>
      <c r="Q691" s="3" t="s">
        <v>67</v>
      </c>
      <c r="R691" s="3"/>
      <c r="S691" s="3" t="str">
        <f>"Feb 4"</f>
        <v>Feb 4</v>
      </c>
    </row>
    <row r="692" spans="1:19" ht="26.25" x14ac:dyDescent="0.25">
      <c r="A692" s="1">
        <v>40943</v>
      </c>
      <c r="B692" s="1">
        <v>40943</v>
      </c>
      <c r="C692" s="2">
        <f t="shared" si="28"/>
        <v>1</v>
      </c>
      <c r="D692" s="6" t="s">
        <v>2795</v>
      </c>
      <c r="E692" s="3" t="s">
        <v>2796</v>
      </c>
      <c r="F692" s="4" t="s">
        <v>58</v>
      </c>
      <c r="G692" s="3" t="s">
        <v>2797</v>
      </c>
      <c r="H692" s="3" t="s">
        <v>2798</v>
      </c>
      <c r="I692" s="3" t="s">
        <v>71</v>
      </c>
      <c r="J692" s="3" t="s">
        <v>61</v>
      </c>
      <c r="K692" s="3">
        <v>67202</v>
      </c>
      <c r="L692" s="3" t="s">
        <v>2799</v>
      </c>
      <c r="M692" s="3"/>
      <c r="N692" s="3"/>
      <c r="O692" s="3" t="s">
        <v>2800</v>
      </c>
      <c r="P692" s="3" t="s">
        <v>2801</v>
      </c>
      <c r="Q692" s="3" t="s">
        <v>67</v>
      </c>
      <c r="R692" s="3" t="s">
        <v>67</v>
      </c>
      <c r="S692" s="3" t="str">
        <f>"Feb 4"</f>
        <v>Feb 4</v>
      </c>
    </row>
    <row r="693" spans="1:19" ht="39" x14ac:dyDescent="0.25">
      <c r="A693" s="1">
        <v>40945</v>
      </c>
      <c r="B693" s="1">
        <v>40945</v>
      </c>
      <c r="C693" s="2">
        <f t="shared" si="28"/>
        <v>1</v>
      </c>
      <c r="D693" s="6" t="s">
        <v>2806</v>
      </c>
      <c r="E693" s="3" t="s">
        <v>2807</v>
      </c>
      <c r="F693" s="4" t="s">
        <v>58</v>
      </c>
      <c r="G693" s="3" t="s">
        <v>1127</v>
      </c>
      <c r="H693" s="3" t="s">
        <v>2808</v>
      </c>
      <c r="I693" s="3" t="s">
        <v>303</v>
      </c>
      <c r="J693" s="3" t="s">
        <v>61</v>
      </c>
      <c r="K693" s="3">
        <v>66502</v>
      </c>
      <c r="L693" s="3" t="s">
        <v>1129</v>
      </c>
      <c r="M693" s="3"/>
      <c r="N693" s="3"/>
      <c r="O693" s="3" t="s">
        <v>1130</v>
      </c>
      <c r="P693" s="3" t="s">
        <v>1197</v>
      </c>
      <c r="Q693" s="3" t="s">
        <v>67</v>
      </c>
      <c r="R693" s="3" t="s">
        <v>67</v>
      </c>
      <c r="S693" s="3" t="str">
        <f>"Feb 6"</f>
        <v>Feb 6</v>
      </c>
    </row>
    <row r="694" spans="1:19" ht="51.75" x14ac:dyDescent="0.25">
      <c r="A694" s="1">
        <v>40949</v>
      </c>
      <c r="B694" s="1">
        <v>40949</v>
      </c>
      <c r="C694" s="2">
        <f t="shared" si="28"/>
        <v>1</v>
      </c>
      <c r="D694" s="6" t="s">
        <v>2809</v>
      </c>
      <c r="E694" s="3" t="s">
        <v>2810</v>
      </c>
      <c r="F694" s="4" t="s">
        <v>58</v>
      </c>
      <c r="G694" s="3" t="s">
        <v>1127</v>
      </c>
      <c r="H694" s="3" t="s">
        <v>1128</v>
      </c>
      <c r="I694" s="3" t="s">
        <v>303</v>
      </c>
      <c r="J694" s="3" t="s">
        <v>61</v>
      </c>
      <c r="K694" s="3">
        <v>66502</v>
      </c>
      <c r="L694" s="3" t="s">
        <v>1129</v>
      </c>
      <c r="M694" s="3"/>
      <c r="N694" s="3"/>
      <c r="O694" s="3" t="s">
        <v>1130</v>
      </c>
      <c r="P694" s="3" t="s">
        <v>1197</v>
      </c>
      <c r="Q694" s="3" t="s">
        <v>67</v>
      </c>
      <c r="R694" s="3" t="s">
        <v>67</v>
      </c>
      <c r="S694" s="3" t="str">
        <f>"Feb 10"</f>
        <v>Feb 10</v>
      </c>
    </row>
    <row r="695" spans="1:19" x14ac:dyDescent="0.25">
      <c r="A695" s="1">
        <v>40950</v>
      </c>
      <c r="B695" s="1">
        <v>40950</v>
      </c>
      <c r="C695" s="2">
        <f t="shared" si="28"/>
        <v>1</v>
      </c>
      <c r="D695" s="6" t="s">
        <v>2821</v>
      </c>
      <c r="E695" s="3" t="s">
        <v>2822</v>
      </c>
      <c r="F695" s="4" t="s">
        <v>58</v>
      </c>
      <c r="G695" s="3" t="s">
        <v>2823</v>
      </c>
      <c r="H695" s="3" t="s">
        <v>2824</v>
      </c>
      <c r="I695" s="3" t="s">
        <v>978</v>
      </c>
      <c r="J695" s="3" t="s">
        <v>61</v>
      </c>
      <c r="K695" s="3">
        <v>67456</v>
      </c>
      <c r="L695" s="3" t="s">
        <v>979</v>
      </c>
      <c r="M695" s="3" t="s">
        <v>980</v>
      </c>
      <c r="N695" s="3"/>
      <c r="O695" s="3" t="s">
        <v>981</v>
      </c>
      <c r="P695" s="3" t="s">
        <v>982</v>
      </c>
      <c r="Q695" s="3" t="s">
        <v>67</v>
      </c>
      <c r="R695" s="3" t="s">
        <v>67</v>
      </c>
      <c r="S695" s="3" t="str">
        <f>"Feb 11"</f>
        <v>Feb 11</v>
      </c>
    </row>
    <row r="696" spans="1:19" x14ac:dyDescent="0.25">
      <c r="A696" s="1">
        <v>40950</v>
      </c>
      <c r="B696" s="1">
        <v>40950</v>
      </c>
      <c r="C696" s="2">
        <f t="shared" si="28"/>
        <v>1</v>
      </c>
      <c r="D696" s="6" t="s">
        <v>2825</v>
      </c>
      <c r="E696" s="3" t="s">
        <v>2825</v>
      </c>
      <c r="F696" s="4" t="s">
        <v>58</v>
      </c>
      <c r="G696" s="3" t="s">
        <v>551</v>
      </c>
      <c r="H696" s="3" t="s">
        <v>552</v>
      </c>
      <c r="I696" s="3" t="s">
        <v>60</v>
      </c>
      <c r="J696" s="3" t="s">
        <v>61</v>
      </c>
      <c r="K696" s="3">
        <v>66621</v>
      </c>
      <c r="L696" s="3" t="s">
        <v>553</v>
      </c>
      <c r="M696" s="3"/>
      <c r="N696" s="3"/>
      <c r="O696" s="3"/>
      <c r="P696" s="3" t="s">
        <v>554</v>
      </c>
      <c r="Q696" s="3" t="s">
        <v>67</v>
      </c>
      <c r="R696" s="3" t="s">
        <v>67</v>
      </c>
      <c r="S696" s="3" t="str">
        <f>"Feb 11"</f>
        <v>Feb 11</v>
      </c>
    </row>
    <row r="697" spans="1:19" ht="39" x14ac:dyDescent="0.25">
      <c r="A697" s="1">
        <v>40950</v>
      </c>
      <c r="B697" s="1">
        <v>40950</v>
      </c>
      <c r="C697" s="2">
        <f t="shared" si="28"/>
        <v>1</v>
      </c>
      <c r="D697" s="6" t="s">
        <v>2826</v>
      </c>
      <c r="E697" s="3" t="s">
        <v>2827</v>
      </c>
      <c r="F697" s="4" t="s">
        <v>58</v>
      </c>
      <c r="G697" s="3" t="s">
        <v>2828</v>
      </c>
      <c r="H697" s="3" t="s">
        <v>2829</v>
      </c>
      <c r="I697" s="3" t="s">
        <v>865</v>
      </c>
      <c r="J697" s="3" t="s">
        <v>61</v>
      </c>
      <c r="K697" s="3">
        <v>67601</v>
      </c>
      <c r="L697" s="3" t="s">
        <v>2830</v>
      </c>
      <c r="M697" s="3"/>
      <c r="N697" s="3"/>
      <c r="O697" s="3" t="s">
        <v>2831</v>
      </c>
      <c r="P697" s="3" t="s">
        <v>2832</v>
      </c>
      <c r="Q697" s="3" t="s">
        <v>67</v>
      </c>
      <c r="R697" s="3"/>
      <c r="S697" s="3" t="str">
        <f>"Feb 11"</f>
        <v>Feb 11</v>
      </c>
    </row>
    <row r="698" spans="1:19" ht="26.25" x14ac:dyDescent="0.25">
      <c r="A698" s="1">
        <v>40951</v>
      </c>
      <c r="B698" s="1">
        <v>40951</v>
      </c>
      <c r="C698" s="2">
        <f t="shared" si="28"/>
        <v>1</v>
      </c>
      <c r="D698" s="6" t="s">
        <v>2837</v>
      </c>
      <c r="E698" s="3" t="s">
        <v>2838</v>
      </c>
      <c r="F698" s="4" t="s">
        <v>58</v>
      </c>
      <c r="G698" s="3" t="s">
        <v>2170</v>
      </c>
      <c r="H698" s="3"/>
      <c r="I698" s="3" t="s">
        <v>518</v>
      </c>
      <c r="J698" s="3" t="s">
        <v>61</v>
      </c>
      <c r="K698" s="3">
        <v>66006</v>
      </c>
      <c r="L698" s="3" t="s">
        <v>2839</v>
      </c>
      <c r="M698" s="3"/>
      <c r="N698" s="3"/>
      <c r="O698" s="3"/>
      <c r="P698" s="3" t="s">
        <v>2840</v>
      </c>
      <c r="Q698" s="3" t="s">
        <v>67</v>
      </c>
      <c r="R698" s="3" t="s">
        <v>67</v>
      </c>
      <c r="S698" s="3" t="str">
        <f>"Feb 12"</f>
        <v>Feb 12</v>
      </c>
    </row>
    <row r="699" spans="1:19" ht="39" x14ac:dyDescent="0.25">
      <c r="A699" s="1">
        <v>40951</v>
      </c>
      <c r="B699" s="1">
        <v>40951</v>
      </c>
      <c r="C699" s="2">
        <f t="shared" si="28"/>
        <v>1</v>
      </c>
      <c r="D699" s="6" t="s">
        <v>2841</v>
      </c>
      <c r="E699" s="3" t="s">
        <v>2842</v>
      </c>
      <c r="F699" s="4" t="s">
        <v>58</v>
      </c>
      <c r="G699" s="3" t="s">
        <v>1127</v>
      </c>
      <c r="H699" s="3" t="s">
        <v>1128</v>
      </c>
      <c r="I699" s="3" t="s">
        <v>303</v>
      </c>
      <c r="J699" s="3" t="s">
        <v>61</v>
      </c>
      <c r="K699" s="3">
        <v>66502</v>
      </c>
      <c r="L699" s="3" t="s">
        <v>1129</v>
      </c>
      <c r="M699" s="3"/>
      <c r="N699" s="3"/>
      <c r="O699" s="3" t="s">
        <v>1130</v>
      </c>
      <c r="P699" s="3" t="s">
        <v>1197</v>
      </c>
      <c r="Q699" s="3" t="s">
        <v>67</v>
      </c>
      <c r="R699" s="3" t="s">
        <v>67</v>
      </c>
      <c r="S699" s="3" t="str">
        <f>"Feb 12"</f>
        <v>Feb 12</v>
      </c>
    </row>
    <row r="700" spans="1:19" ht="39" x14ac:dyDescent="0.25">
      <c r="A700" s="1">
        <v>40952</v>
      </c>
      <c r="B700" s="1">
        <v>40952</v>
      </c>
      <c r="C700" s="2">
        <f t="shared" si="28"/>
        <v>1</v>
      </c>
      <c r="D700" s="6" t="s">
        <v>2843</v>
      </c>
      <c r="E700" s="3" t="s">
        <v>2844</v>
      </c>
      <c r="F700" s="4" t="s">
        <v>58</v>
      </c>
      <c r="G700" s="3" t="s">
        <v>1348</v>
      </c>
      <c r="H700" s="3" t="s">
        <v>2007</v>
      </c>
      <c r="I700" s="3" t="s">
        <v>105</v>
      </c>
      <c r="J700" s="3" t="s">
        <v>61</v>
      </c>
      <c r="K700" s="3">
        <v>66046</v>
      </c>
      <c r="L700" s="3" t="s">
        <v>1349</v>
      </c>
      <c r="M700" s="3"/>
      <c r="N700" s="3"/>
      <c r="O700" s="3"/>
      <c r="P700" s="3" t="s">
        <v>1350</v>
      </c>
      <c r="Q700" s="3" t="s">
        <v>67</v>
      </c>
      <c r="R700" s="3" t="s">
        <v>67</v>
      </c>
      <c r="S700" s="3" t="str">
        <f>"Feb 13"</f>
        <v>Feb 13</v>
      </c>
    </row>
    <row r="701" spans="1:19" ht="26.25" x14ac:dyDescent="0.25">
      <c r="A701" s="1">
        <v>40953</v>
      </c>
      <c r="B701" s="1">
        <v>40953</v>
      </c>
      <c r="C701" s="2">
        <f t="shared" si="28"/>
        <v>1</v>
      </c>
      <c r="D701" s="6" t="s">
        <v>2845</v>
      </c>
      <c r="E701" s="3" t="s">
        <v>2846</v>
      </c>
      <c r="F701" s="4" t="s">
        <v>58</v>
      </c>
      <c r="G701" s="3" t="s">
        <v>1348</v>
      </c>
      <c r="H701" s="3" t="s">
        <v>2007</v>
      </c>
      <c r="I701" s="3" t="s">
        <v>105</v>
      </c>
      <c r="J701" s="3" t="s">
        <v>61</v>
      </c>
      <c r="K701" s="3">
        <v>66046</v>
      </c>
      <c r="L701" s="3" t="s">
        <v>1349</v>
      </c>
      <c r="M701" s="3"/>
      <c r="N701" s="3"/>
      <c r="O701" s="3"/>
      <c r="P701" s="3"/>
      <c r="Q701" s="3" t="s">
        <v>67</v>
      </c>
      <c r="R701" s="3" t="s">
        <v>67</v>
      </c>
      <c r="S701" s="3" t="str">
        <f>"Feb 14"</f>
        <v>Feb 14</v>
      </c>
    </row>
    <row r="702" spans="1:19" ht="39" x14ac:dyDescent="0.25">
      <c r="A702" s="1">
        <v>40954</v>
      </c>
      <c r="B702" s="1">
        <v>40954</v>
      </c>
      <c r="C702" s="2">
        <f t="shared" si="28"/>
        <v>1</v>
      </c>
      <c r="D702" s="6" t="s">
        <v>2847</v>
      </c>
      <c r="E702" s="3" t="s">
        <v>2848</v>
      </c>
      <c r="F702" s="4" t="s">
        <v>58</v>
      </c>
      <c r="G702" s="3" t="s">
        <v>1856</v>
      </c>
      <c r="H702" s="3" t="s">
        <v>1857</v>
      </c>
      <c r="I702" s="3" t="s">
        <v>85</v>
      </c>
      <c r="J702" s="3" t="s">
        <v>61</v>
      </c>
      <c r="K702" s="3">
        <v>67501</v>
      </c>
      <c r="L702" s="3" t="s">
        <v>1858</v>
      </c>
      <c r="M702" s="3" t="s">
        <v>1859</v>
      </c>
      <c r="N702" s="3"/>
      <c r="O702" s="3" t="s">
        <v>1860</v>
      </c>
      <c r="P702" s="3" t="s">
        <v>1861</v>
      </c>
      <c r="Q702" s="3" t="s">
        <v>67</v>
      </c>
      <c r="R702" s="3" t="s">
        <v>67</v>
      </c>
      <c r="S702" s="3" t="str">
        <f>"Feb 15"</f>
        <v>Feb 15</v>
      </c>
    </row>
    <row r="703" spans="1:19" ht="26.25" x14ac:dyDescent="0.25">
      <c r="A703" s="1">
        <v>40957</v>
      </c>
      <c r="B703" s="1">
        <v>40957</v>
      </c>
      <c r="C703" s="2">
        <f t="shared" si="28"/>
        <v>1</v>
      </c>
      <c r="D703" s="6" t="s">
        <v>2870</v>
      </c>
      <c r="E703" s="3" t="s">
        <v>2871</v>
      </c>
      <c r="F703" s="4" t="s">
        <v>58</v>
      </c>
      <c r="G703" s="3" t="s">
        <v>2076</v>
      </c>
      <c r="H703" s="3"/>
      <c r="I703" s="3" t="s">
        <v>1768</v>
      </c>
      <c r="J703" s="3" t="s">
        <v>61</v>
      </c>
      <c r="K703" s="3">
        <v>67455</v>
      </c>
      <c r="L703" s="3" t="s">
        <v>2077</v>
      </c>
      <c r="M703" s="3"/>
      <c r="N703" s="3"/>
      <c r="O703" s="3" t="s">
        <v>2078</v>
      </c>
      <c r="P703" s="3" t="s">
        <v>2079</v>
      </c>
      <c r="Q703" s="3" t="s">
        <v>67</v>
      </c>
      <c r="R703" s="3" t="s">
        <v>67</v>
      </c>
      <c r="S703" s="3" t="str">
        <f>"Feb 18"</f>
        <v>Feb 18</v>
      </c>
    </row>
    <row r="704" spans="1:19" ht="26.25" x14ac:dyDescent="0.25">
      <c r="A704" s="1">
        <v>40957</v>
      </c>
      <c r="B704" s="1">
        <v>40957</v>
      </c>
      <c r="C704" s="2">
        <f t="shared" si="28"/>
        <v>1</v>
      </c>
      <c r="D704" s="6" t="s">
        <v>2872</v>
      </c>
      <c r="E704" s="3" t="s">
        <v>2873</v>
      </c>
      <c r="F704" s="4" t="s">
        <v>58</v>
      </c>
      <c r="G704" s="3" t="s">
        <v>1348</v>
      </c>
      <c r="H704" s="3" t="s">
        <v>2007</v>
      </c>
      <c r="I704" s="3" t="s">
        <v>105</v>
      </c>
      <c r="J704" s="3" t="s">
        <v>61</v>
      </c>
      <c r="K704" s="3">
        <v>66046</v>
      </c>
      <c r="L704" s="3" t="s">
        <v>1349</v>
      </c>
      <c r="M704" s="3"/>
      <c r="N704" s="3"/>
      <c r="O704" s="3"/>
      <c r="P704" s="3"/>
      <c r="Q704" s="3" t="s">
        <v>67</v>
      </c>
      <c r="R704" s="3" t="s">
        <v>67</v>
      </c>
      <c r="S704" s="3" t="str">
        <f>"Feb 18"</f>
        <v>Feb 18</v>
      </c>
    </row>
    <row r="705" spans="1:19" ht="39" x14ac:dyDescent="0.25">
      <c r="A705" s="1">
        <v>40958</v>
      </c>
      <c r="B705" s="1">
        <v>40958</v>
      </c>
      <c r="C705" s="2">
        <f t="shared" si="28"/>
        <v>1</v>
      </c>
      <c r="D705" s="6" t="s">
        <v>2883</v>
      </c>
      <c r="E705" s="3" t="s">
        <v>2884</v>
      </c>
      <c r="F705" s="4" t="s">
        <v>58</v>
      </c>
      <c r="G705" s="3" t="s">
        <v>1127</v>
      </c>
      <c r="H705" s="3" t="s">
        <v>1128</v>
      </c>
      <c r="I705" s="3" t="s">
        <v>303</v>
      </c>
      <c r="J705" s="3" t="s">
        <v>61</v>
      </c>
      <c r="K705" s="3">
        <v>66502</v>
      </c>
      <c r="L705" s="3" t="s">
        <v>1129</v>
      </c>
      <c r="M705" s="3"/>
      <c r="N705" s="3"/>
      <c r="O705" s="3" t="s">
        <v>1130</v>
      </c>
      <c r="P705" s="3" t="s">
        <v>1197</v>
      </c>
      <c r="Q705" s="3" t="s">
        <v>67</v>
      </c>
      <c r="R705" s="3" t="s">
        <v>67</v>
      </c>
      <c r="S705" s="3" t="str">
        <f>"Feb 19"</f>
        <v>Feb 19</v>
      </c>
    </row>
    <row r="706" spans="1:19" ht="39" x14ac:dyDescent="0.25">
      <c r="A706" s="1">
        <v>40962</v>
      </c>
      <c r="B706" s="1">
        <v>40962</v>
      </c>
      <c r="C706" s="2">
        <f t="shared" ref="C706:C769" si="30">(B706-A706)+1</f>
        <v>1</v>
      </c>
      <c r="D706" s="6" t="s">
        <v>2885</v>
      </c>
      <c r="E706" s="3" t="s">
        <v>2886</v>
      </c>
      <c r="F706" s="4" t="s">
        <v>58</v>
      </c>
      <c r="G706" s="3" t="s">
        <v>1178</v>
      </c>
      <c r="H706" s="3" t="s">
        <v>2887</v>
      </c>
      <c r="I706" s="3" t="s">
        <v>865</v>
      </c>
      <c r="J706" s="3" t="s">
        <v>61</v>
      </c>
      <c r="K706" s="3">
        <v>67601</v>
      </c>
      <c r="L706" s="3" t="s">
        <v>2733</v>
      </c>
      <c r="M706" s="3"/>
      <c r="N706" s="3" t="s">
        <v>868</v>
      </c>
      <c r="O706" s="3" t="s">
        <v>2735</v>
      </c>
      <c r="P706" s="3" t="s">
        <v>2736</v>
      </c>
      <c r="Q706" s="3" t="s">
        <v>67</v>
      </c>
      <c r="R706" s="3" t="s">
        <v>67</v>
      </c>
      <c r="S706" s="3" t="str">
        <f>"Feb 23"</f>
        <v>Feb 23</v>
      </c>
    </row>
    <row r="707" spans="1:19" ht="26.25" x14ac:dyDescent="0.25">
      <c r="A707" s="1">
        <v>40962</v>
      </c>
      <c r="B707" s="1">
        <v>40962</v>
      </c>
      <c r="C707" s="2">
        <f t="shared" si="30"/>
        <v>1</v>
      </c>
      <c r="D707" s="6" t="s">
        <v>2888</v>
      </c>
      <c r="E707" s="3" t="s">
        <v>2889</v>
      </c>
      <c r="F707" s="4" t="s">
        <v>58</v>
      </c>
      <c r="G707" s="3" t="s">
        <v>1348</v>
      </c>
      <c r="H707" s="3" t="s">
        <v>2007</v>
      </c>
      <c r="I707" s="3" t="s">
        <v>105</v>
      </c>
      <c r="J707" s="3" t="s">
        <v>61</v>
      </c>
      <c r="K707" s="3">
        <v>66046</v>
      </c>
      <c r="L707" s="3" t="s">
        <v>1349</v>
      </c>
      <c r="M707" s="3"/>
      <c r="N707" s="3"/>
      <c r="O707" s="3"/>
      <c r="P707" s="3" t="s">
        <v>1350</v>
      </c>
      <c r="Q707" s="3" t="s">
        <v>67</v>
      </c>
      <c r="R707" s="3" t="s">
        <v>67</v>
      </c>
      <c r="S707" s="3" t="str">
        <f>"Feb 23"</f>
        <v>Feb 23</v>
      </c>
    </row>
    <row r="708" spans="1:19" ht="39" x14ac:dyDescent="0.25">
      <c r="A708" s="1">
        <v>40962</v>
      </c>
      <c r="B708" s="1">
        <v>40962</v>
      </c>
      <c r="C708" s="2">
        <f t="shared" si="30"/>
        <v>1</v>
      </c>
      <c r="D708" s="6" t="s">
        <v>2890</v>
      </c>
      <c r="E708" s="3" t="s">
        <v>2891</v>
      </c>
      <c r="F708" s="4" t="s">
        <v>58</v>
      </c>
      <c r="G708" s="3" t="s">
        <v>1856</v>
      </c>
      <c r="H708" s="3" t="s">
        <v>1857</v>
      </c>
      <c r="I708" s="3" t="s">
        <v>85</v>
      </c>
      <c r="J708" s="3" t="s">
        <v>61</v>
      </c>
      <c r="K708" s="3">
        <v>67501</v>
      </c>
      <c r="L708" s="3" t="s">
        <v>1858</v>
      </c>
      <c r="M708" s="3" t="s">
        <v>1859</v>
      </c>
      <c r="N708" s="3"/>
      <c r="O708" s="3" t="s">
        <v>1860</v>
      </c>
      <c r="P708" s="3" t="s">
        <v>1861</v>
      </c>
      <c r="Q708" s="3" t="s">
        <v>67</v>
      </c>
      <c r="R708" s="3" t="s">
        <v>67</v>
      </c>
      <c r="S708" s="3" t="str">
        <f>"Feb 23"</f>
        <v>Feb 23</v>
      </c>
    </row>
    <row r="709" spans="1:19" ht="39" x14ac:dyDescent="0.25">
      <c r="A709" s="1">
        <v>40965</v>
      </c>
      <c r="B709" s="1">
        <v>40965</v>
      </c>
      <c r="C709" s="2">
        <f t="shared" si="30"/>
        <v>1</v>
      </c>
      <c r="D709" s="6" t="s">
        <v>2921</v>
      </c>
      <c r="E709" s="3" t="s">
        <v>2922</v>
      </c>
      <c r="F709" s="4" t="s">
        <v>58</v>
      </c>
      <c r="G709" s="3" t="s">
        <v>1127</v>
      </c>
      <c r="H709" s="3" t="s">
        <v>1128</v>
      </c>
      <c r="I709" s="3" t="s">
        <v>303</v>
      </c>
      <c r="J709" s="3" t="s">
        <v>61</v>
      </c>
      <c r="K709" s="3">
        <v>66502</v>
      </c>
      <c r="L709" s="3" t="s">
        <v>1129</v>
      </c>
      <c r="M709" s="3"/>
      <c r="N709" s="3"/>
      <c r="O709" s="3" t="s">
        <v>1130</v>
      </c>
      <c r="P709" s="3" t="s">
        <v>1197</v>
      </c>
      <c r="Q709" s="3"/>
      <c r="R709" s="3"/>
      <c r="S709" s="3" t="str">
        <f>"Feb 26"</f>
        <v>Feb 26</v>
      </c>
    </row>
    <row r="710" spans="1:19" ht="26.25" x14ac:dyDescent="0.25">
      <c r="A710" s="1">
        <v>40967</v>
      </c>
      <c r="B710" s="1">
        <v>40967</v>
      </c>
      <c r="C710" s="2">
        <f t="shared" si="30"/>
        <v>1</v>
      </c>
      <c r="D710" s="6" t="s">
        <v>2923</v>
      </c>
      <c r="E710" s="3" t="s">
        <v>2924</v>
      </c>
      <c r="F710" s="4" t="s">
        <v>58</v>
      </c>
      <c r="G710" s="3" t="s">
        <v>1127</v>
      </c>
      <c r="H710" s="3" t="s">
        <v>1128</v>
      </c>
      <c r="I710" s="3" t="s">
        <v>303</v>
      </c>
      <c r="J710" s="3" t="s">
        <v>61</v>
      </c>
      <c r="K710" s="3">
        <v>66502</v>
      </c>
      <c r="L710" s="3" t="s">
        <v>1129</v>
      </c>
      <c r="M710" s="3"/>
      <c r="N710" s="3"/>
      <c r="O710" s="3" t="s">
        <v>1130</v>
      </c>
      <c r="P710" s="3" t="s">
        <v>2925</v>
      </c>
      <c r="Q710" s="3"/>
      <c r="R710" s="3"/>
      <c r="S710" s="3" t="str">
        <f>"Feb 28"</f>
        <v>Feb 28</v>
      </c>
    </row>
    <row r="711" spans="1:19" ht="26.25" x14ac:dyDescent="0.25">
      <c r="A711" s="1">
        <v>40968</v>
      </c>
      <c r="B711" s="1">
        <v>40968</v>
      </c>
      <c r="C711" s="2">
        <f t="shared" si="30"/>
        <v>1</v>
      </c>
      <c r="D711" s="6" t="s">
        <v>2923</v>
      </c>
      <c r="E711" s="3" t="s">
        <v>2926</v>
      </c>
      <c r="F711" s="4" t="s">
        <v>58</v>
      </c>
      <c r="G711" s="3" t="s">
        <v>1127</v>
      </c>
      <c r="H711" s="3" t="s">
        <v>1128</v>
      </c>
      <c r="I711" s="3" t="s">
        <v>303</v>
      </c>
      <c r="J711" s="3" t="s">
        <v>61</v>
      </c>
      <c r="K711" s="3">
        <v>66502</v>
      </c>
      <c r="L711" s="3" t="s">
        <v>1129</v>
      </c>
      <c r="M711" s="3"/>
      <c r="N711" s="3"/>
      <c r="O711" s="3" t="s">
        <v>1130</v>
      </c>
      <c r="P711" s="3" t="s">
        <v>1197</v>
      </c>
      <c r="Q711" s="3" t="s">
        <v>67</v>
      </c>
      <c r="R711" s="3" t="s">
        <v>67</v>
      </c>
      <c r="S711" s="3" t="str">
        <f>"Feb 29"</f>
        <v>Feb 29</v>
      </c>
    </row>
    <row r="712" spans="1:19" ht="39" x14ac:dyDescent="0.25">
      <c r="A712" s="1">
        <v>40970</v>
      </c>
      <c r="B712" s="1">
        <v>40970</v>
      </c>
      <c r="C712" s="2">
        <f t="shared" si="30"/>
        <v>1</v>
      </c>
      <c r="D712" s="6" t="s">
        <v>2927</v>
      </c>
      <c r="E712" s="3" t="s">
        <v>2928</v>
      </c>
      <c r="F712" s="4" t="s">
        <v>58</v>
      </c>
      <c r="G712" s="3" t="s">
        <v>1856</v>
      </c>
      <c r="H712" s="3" t="s">
        <v>1857</v>
      </c>
      <c r="I712" s="3" t="s">
        <v>85</v>
      </c>
      <c r="J712" s="3" t="s">
        <v>61</v>
      </c>
      <c r="K712" s="3">
        <v>67501</v>
      </c>
      <c r="L712" s="3" t="s">
        <v>1858</v>
      </c>
      <c r="M712" s="3" t="s">
        <v>1859</v>
      </c>
      <c r="N712" s="3"/>
      <c r="O712" s="3" t="s">
        <v>1860</v>
      </c>
      <c r="P712" s="3" t="s">
        <v>1861</v>
      </c>
      <c r="Q712" s="3" t="s">
        <v>67</v>
      </c>
      <c r="R712" s="3" t="s">
        <v>67</v>
      </c>
      <c r="S712" s="3" t="str">
        <f>"Mar 2"</f>
        <v>Mar 2</v>
      </c>
    </row>
    <row r="713" spans="1:19" ht="39" x14ac:dyDescent="0.25">
      <c r="A713" s="1">
        <v>40970</v>
      </c>
      <c r="B713" s="1">
        <v>40970</v>
      </c>
      <c r="C713" s="2">
        <f t="shared" si="30"/>
        <v>1</v>
      </c>
      <c r="D713" s="6" t="s">
        <v>2929</v>
      </c>
      <c r="E713" s="3" t="s">
        <v>2930</v>
      </c>
      <c r="F713" s="4" t="s">
        <v>58</v>
      </c>
      <c r="G713" s="3" t="s">
        <v>1127</v>
      </c>
      <c r="H713" s="3" t="s">
        <v>1128</v>
      </c>
      <c r="I713" s="3" t="s">
        <v>303</v>
      </c>
      <c r="J713" s="3" t="s">
        <v>61</v>
      </c>
      <c r="K713" s="3">
        <v>66502</v>
      </c>
      <c r="L713" s="3" t="s">
        <v>1129</v>
      </c>
      <c r="M713" s="3"/>
      <c r="N713" s="3"/>
      <c r="O713" s="3" t="s">
        <v>1130</v>
      </c>
      <c r="P713" s="3" t="s">
        <v>2925</v>
      </c>
      <c r="Q713" s="3" t="s">
        <v>67</v>
      </c>
      <c r="R713" s="3" t="s">
        <v>67</v>
      </c>
      <c r="S713" s="3" t="str">
        <f>"Mar 2"</f>
        <v>Mar 2</v>
      </c>
    </row>
    <row r="714" spans="1:19" x14ac:dyDescent="0.25">
      <c r="A714" s="1">
        <v>40971</v>
      </c>
      <c r="B714" s="1">
        <v>40971</v>
      </c>
      <c r="C714" s="2">
        <f t="shared" si="30"/>
        <v>1</v>
      </c>
      <c r="D714" s="6" t="s">
        <v>1292</v>
      </c>
      <c r="E714" s="3" t="s">
        <v>1292</v>
      </c>
      <c r="F714" s="4" t="s">
        <v>58</v>
      </c>
      <c r="G714" s="3" t="s">
        <v>2933</v>
      </c>
      <c r="H714" s="3"/>
      <c r="I714" s="3" t="s">
        <v>60</v>
      </c>
      <c r="J714" s="3" t="s">
        <v>61</v>
      </c>
      <c r="K714" s="3">
        <v>66606</v>
      </c>
      <c r="L714" s="3" t="s">
        <v>298</v>
      </c>
      <c r="M714" s="3"/>
      <c r="N714" s="3"/>
      <c r="O714" s="3"/>
      <c r="P714" s="3" t="s">
        <v>299</v>
      </c>
      <c r="Q714" s="3" t="s">
        <v>67</v>
      </c>
      <c r="R714" s="3" t="s">
        <v>67</v>
      </c>
      <c r="S714" s="3" t="str">
        <f>"Mar 3"</f>
        <v>Mar 3</v>
      </c>
    </row>
    <row r="715" spans="1:19" x14ac:dyDescent="0.25">
      <c r="A715" s="1">
        <v>40977</v>
      </c>
      <c r="B715" s="1">
        <v>40977</v>
      </c>
      <c r="C715" s="2">
        <f t="shared" si="30"/>
        <v>1</v>
      </c>
      <c r="D715" s="6" t="s">
        <v>1564</v>
      </c>
      <c r="E715" s="3" t="s">
        <v>1564</v>
      </c>
      <c r="F715" s="4" t="s">
        <v>58</v>
      </c>
      <c r="G715" s="3" t="s">
        <v>297</v>
      </c>
      <c r="H715" s="3"/>
      <c r="I715" s="3" t="s">
        <v>60</v>
      </c>
      <c r="J715" s="3" t="s">
        <v>61</v>
      </c>
      <c r="K715" s="3">
        <v>66606</v>
      </c>
      <c r="L715" s="3" t="s">
        <v>298</v>
      </c>
      <c r="M715" s="3"/>
      <c r="N715" s="3"/>
      <c r="O715" s="3"/>
      <c r="P715" s="3" t="s">
        <v>299</v>
      </c>
      <c r="Q715" s="3" t="s">
        <v>67</v>
      </c>
      <c r="R715" s="3" t="s">
        <v>67</v>
      </c>
      <c r="S715" s="3" t="str">
        <f>"Mar 9"</f>
        <v>Mar 9</v>
      </c>
    </row>
    <row r="716" spans="1:19" ht="26.25" x14ac:dyDescent="0.25">
      <c r="A716" s="1">
        <v>40978</v>
      </c>
      <c r="B716" s="1">
        <v>40978</v>
      </c>
      <c r="C716" s="2">
        <f t="shared" si="30"/>
        <v>1</v>
      </c>
      <c r="D716" s="6" t="s">
        <v>2946</v>
      </c>
      <c r="E716" s="3" t="s">
        <v>2946</v>
      </c>
      <c r="F716" s="4" t="s">
        <v>58</v>
      </c>
      <c r="G716" s="3" t="s">
        <v>2947</v>
      </c>
      <c r="H716" s="3" t="s">
        <v>552</v>
      </c>
      <c r="I716" s="3" t="s">
        <v>2948</v>
      </c>
      <c r="J716" s="3" t="s">
        <v>61</v>
      </c>
      <c r="K716" s="3">
        <v>66621</v>
      </c>
      <c r="L716" s="3" t="s">
        <v>553</v>
      </c>
      <c r="M716" s="3"/>
      <c r="N716" s="3"/>
      <c r="O716" s="3"/>
      <c r="P716" s="3" t="s">
        <v>554</v>
      </c>
      <c r="Q716" s="3" t="s">
        <v>67</v>
      </c>
      <c r="R716" s="3" t="s">
        <v>67</v>
      </c>
      <c r="S716" s="3" t="str">
        <f>"Mar 10"</f>
        <v>Mar 10</v>
      </c>
    </row>
    <row r="717" spans="1:19" ht="26.25" x14ac:dyDescent="0.25">
      <c r="A717" s="1">
        <v>40978</v>
      </c>
      <c r="B717" s="1">
        <v>40978</v>
      </c>
      <c r="C717" s="2">
        <f t="shared" si="30"/>
        <v>1</v>
      </c>
      <c r="D717" s="6" t="s">
        <v>2949</v>
      </c>
      <c r="E717" s="3" t="s">
        <v>2950</v>
      </c>
      <c r="F717" s="4" t="s">
        <v>58</v>
      </c>
      <c r="G717" s="3" t="s">
        <v>215</v>
      </c>
      <c r="H717" s="3"/>
      <c r="I717" s="3" t="s">
        <v>2951</v>
      </c>
      <c r="J717" s="3" t="s">
        <v>61</v>
      </c>
      <c r="K717" s="3">
        <v>66086</v>
      </c>
      <c r="L717" s="3" t="s">
        <v>2952</v>
      </c>
      <c r="M717" s="3"/>
      <c r="N717" s="3"/>
      <c r="O717" s="3" t="s">
        <v>2953</v>
      </c>
      <c r="P717" s="3" t="s">
        <v>2954</v>
      </c>
      <c r="Q717" s="3"/>
      <c r="R717" s="3"/>
      <c r="S717" s="3" t="str">
        <f>"Mar 10"</f>
        <v>Mar 10</v>
      </c>
    </row>
    <row r="718" spans="1:19" x14ac:dyDescent="0.25">
      <c r="A718" s="1">
        <v>40978</v>
      </c>
      <c r="B718" s="1">
        <v>40978</v>
      </c>
      <c r="C718" s="2">
        <f t="shared" si="30"/>
        <v>1</v>
      </c>
      <c r="D718" s="6" t="s">
        <v>1636</v>
      </c>
      <c r="E718" s="3" t="s">
        <v>1636</v>
      </c>
      <c r="F718" s="4" t="s">
        <v>58</v>
      </c>
      <c r="G718" s="3" t="s">
        <v>297</v>
      </c>
      <c r="H718" s="3"/>
      <c r="I718" s="3" t="s">
        <v>60</v>
      </c>
      <c r="J718" s="3" t="s">
        <v>61</v>
      </c>
      <c r="K718" s="3">
        <v>66606</v>
      </c>
      <c r="L718" s="3" t="s">
        <v>298</v>
      </c>
      <c r="M718" s="3"/>
      <c r="N718" s="3"/>
      <c r="O718" s="3"/>
      <c r="P718" s="3" t="s">
        <v>299</v>
      </c>
      <c r="Q718" s="3" t="s">
        <v>67</v>
      </c>
      <c r="R718" s="3" t="s">
        <v>67</v>
      </c>
      <c r="S718" s="3" t="str">
        <f>"Mar 10"</f>
        <v>Mar 10</v>
      </c>
    </row>
    <row r="719" spans="1:19" ht="39" x14ac:dyDescent="0.25">
      <c r="A719" s="1">
        <v>40979</v>
      </c>
      <c r="B719" s="1">
        <v>40979</v>
      </c>
      <c r="C719" s="2">
        <f t="shared" si="30"/>
        <v>1</v>
      </c>
      <c r="D719" s="6" t="s">
        <v>2955</v>
      </c>
      <c r="E719" s="3" t="s">
        <v>2956</v>
      </c>
      <c r="F719" s="4" t="s">
        <v>58</v>
      </c>
      <c r="G719" s="3" t="s">
        <v>1127</v>
      </c>
      <c r="H719" s="3" t="s">
        <v>1128</v>
      </c>
      <c r="I719" s="3" t="s">
        <v>303</v>
      </c>
      <c r="J719" s="3" t="s">
        <v>61</v>
      </c>
      <c r="K719" s="3">
        <v>66502</v>
      </c>
      <c r="L719" s="3" t="s">
        <v>1129</v>
      </c>
      <c r="M719" s="3"/>
      <c r="N719" s="3"/>
      <c r="O719" s="3" t="s">
        <v>1130</v>
      </c>
      <c r="P719" s="3" t="s">
        <v>1197</v>
      </c>
      <c r="Q719" s="3" t="s">
        <v>67</v>
      </c>
      <c r="R719" s="3" t="s">
        <v>67</v>
      </c>
      <c r="S719" s="3" t="str">
        <f>"Mar 11"</f>
        <v>Mar 11</v>
      </c>
    </row>
    <row r="720" spans="1:19" ht="39" x14ac:dyDescent="0.25">
      <c r="A720" s="1">
        <v>40980</v>
      </c>
      <c r="B720" s="1">
        <v>40980</v>
      </c>
      <c r="C720" s="2">
        <f t="shared" si="30"/>
        <v>1</v>
      </c>
      <c r="D720" s="6" t="s">
        <v>2957</v>
      </c>
      <c r="E720" s="3" t="s">
        <v>2958</v>
      </c>
      <c r="F720" s="4" t="s">
        <v>58</v>
      </c>
      <c r="G720" s="3" t="s">
        <v>2959</v>
      </c>
      <c r="H720" s="3" t="s">
        <v>2960</v>
      </c>
      <c r="I720" s="3" t="s">
        <v>865</v>
      </c>
      <c r="J720" s="3" t="s">
        <v>61</v>
      </c>
      <c r="K720" s="3">
        <v>67601</v>
      </c>
      <c r="L720" s="3" t="s">
        <v>2961</v>
      </c>
      <c r="M720" s="3"/>
      <c r="N720" s="3"/>
      <c r="O720" s="3" t="s">
        <v>2962</v>
      </c>
      <c r="P720" s="3"/>
      <c r="Q720" s="3"/>
      <c r="R720" s="3" t="s">
        <v>67</v>
      </c>
      <c r="S720" s="3" t="str">
        <f>"Mar 12"</f>
        <v>Mar 12</v>
      </c>
    </row>
    <row r="721" spans="1:19" ht="26.25" x14ac:dyDescent="0.25">
      <c r="A721" s="1">
        <v>40981</v>
      </c>
      <c r="B721" s="1">
        <v>40981</v>
      </c>
      <c r="C721" s="2">
        <f t="shared" si="30"/>
        <v>1</v>
      </c>
      <c r="D721" s="6" t="s">
        <v>2966</v>
      </c>
      <c r="E721" s="3" t="s">
        <v>2967</v>
      </c>
      <c r="F721" s="4" t="s">
        <v>58</v>
      </c>
      <c r="G721" s="3" t="s">
        <v>2234</v>
      </c>
      <c r="H721" s="3"/>
      <c r="I721" s="3" t="s">
        <v>91</v>
      </c>
      <c r="J721" s="3" t="s">
        <v>61</v>
      </c>
      <c r="K721" s="3">
        <v>66801</v>
      </c>
      <c r="L721" s="3" t="s">
        <v>2968</v>
      </c>
      <c r="M721" s="3"/>
      <c r="N721" s="3"/>
      <c r="O721" s="3" t="s">
        <v>2969</v>
      </c>
      <c r="P721" s="3" t="s">
        <v>2970</v>
      </c>
      <c r="Q721" s="3" t="s">
        <v>67</v>
      </c>
      <c r="R721" s="3"/>
      <c r="S721" s="3" t="str">
        <f>"Mar 13"</f>
        <v>Mar 13</v>
      </c>
    </row>
    <row r="722" spans="1:19" ht="39" x14ac:dyDescent="0.25">
      <c r="A722" s="1">
        <v>40982</v>
      </c>
      <c r="B722" s="1">
        <v>40982</v>
      </c>
      <c r="C722" s="2">
        <f t="shared" si="30"/>
        <v>1</v>
      </c>
      <c r="D722" s="6" t="s">
        <v>2731</v>
      </c>
      <c r="E722" s="3" t="s">
        <v>2971</v>
      </c>
      <c r="F722" s="4" t="s">
        <v>58</v>
      </c>
      <c r="G722" s="3" t="s">
        <v>2972</v>
      </c>
      <c r="H722" s="3" t="s">
        <v>2718</v>
      </c>
      <c r="I722" s="3" t="s">
        <v>865</v>
      </c>
      <c r="J722" s="3" t="s">
        <v>61</v>
      </c>
      <c r="K722" s="3">
        <v>67601</v>
      </c>
      <c r="L722" s="3" t="s">
        <v>2733</v>
      </c>
      <c r="M722" s="3"/>
      <c r="N722" s="3" t="s">
        <v>868</v>
      </c>
      <c r="O722" s="3" t="s">
        <v>2735</v>
      </c>
      <c r="P722" s="3" t="s">
        <v>2736</v>
      </c>
      <c r="Q722" s="3" t="s">
        <v>67</v>
      </c>
      <c r="R722" s="3" t="s">
        <v>67</v>
      </c>
      <c r="S722" s="3" t="str">
        <f>"Mar 14"</f>
        <v>Mar 14</v>
      </c>
    </row>
    <row r="723" spans="1:19" ht="26.25" x14ac:dyDescent="0.25">
      <c r="A723" s="1">
        <v>40982</v>
      </c>
      <c r="B723" s="1">
        <v>40982</v>
      </c>
      <c r="C723" s="2">
        <f t="shared" si="30"/>
        <v>1</v>
      </c>
      <c r="D723" s="6" t="s">
        <v>2973</v>
      </c>
      <c r="E723" s="3" t="s">
        <v>2974</v>
      </c>
      <c r="F723" s="4" t="s">
        <v>58</v>
      </c>
      <c r="G723" s="3" t="s">
        <v>1348</v>
      </c>
      <c r="H723" s="3" t="s">
        <v>2007</v>
      </c>
      <c r="I723" s="3" t="s">
        <v>105</v>
      </c>
      <c r="J723" s="3" t="s">
        <v>61</v>
      </c>
      <c r="K723" s="3">
        <v>66046</v>
      </c>
      <c r="L723" s="3" t="s">
        <v>1349</v>
      </c>
      <c r="M723" s="3"/>
      <c r="N723" s="3"/>
      <c r="O723" s="3"/>
      <c r="P723" s="3" t="s">
        <v>1350</v>
      </c>
      <c r="Q723" s="3" t="s">
        <v>67</v>
      </c>
      <c r="R723" s="3" t="s">
        <v>67</v>
      </c>
      <c r="S723" s="3" t="str">
        <f>"Mar 14"</f>
        <v>Mar 14</v>
      </c>
    </row>
    <row r="724" spans="1:19" ht="26.25" x14ac:dyDescent="0.25">
      <c r="A724" s="1">
        <v>40985</v>
      </c>
      <c r="B724" s="1">
        <v>40985</v>
      </c>
      <c r="C724" s="2">
        <f t="shared" si="30"/>
        <v>1</v>
      </c>
      <c r="D724" s="6" t="s">
        <v>2975</v>
      </c>
      <c r="E724" s="3" t="s">
        <v>2976</v>
      </c>
      <c r="F724" s="4" t="s">
        <v>58</v>
      </c>
      <c r="G724" s="3" t="s">
        <v>462</v>
      </c>
      <c r="H724" s="3" t="s">
        <v>463</v>
      </c>
      <c r="I724" s="3" t="s">
        <v>464</v>
      </c>
      <c r="J724" s="3" t="s">
        <v>61</v>
      </c>
      <c r="K724" s="3">
        <v>67137</v>
      </c>
      <c r="L724" s="3" t="s">
        <v>2977</v>
      </c>
      <c r="M724" s="3"/>
      <c r="N724" s="3"/>
      <c r="O724" s="3"/>
      <c r="P724" s="3"/>
      <c r="Q724" s="3" t="s">
        <v>67</v>
      </c>
      <c r="R724" s="3"/>
      <c r="S724" s="3" t="str">
        <f t="shared" ref="S724:S731" si="31">"Mar 17"</f>
        <v>Mar 17</v>
      </c>
    </row>
    <row r="725" spans="1:19" ht="39" x14ac:dyDescent="0.25">
      <c r="A725" s="1">
        <v>40985</v>
      </c>
      <c r="B725" s="1">
        <v>40985</v>
      </c>
      <c r="C725" s="2">
        <f t="shared" si="30"/>
        <v>1</v>
      </c>
      <c r="D725" s="6" t="s">
        <v>2978</v>
      </c>
      <c r="E725" s="3" t="s">
        <v>2979</v>
      </c>
      <c r="F725" s="4" t="s">
        <v>58</v>
      </c>
      <c r="G725" s="3" t="s">
        <v>2980</v>
      </c>
      <c r="H725" s="3"/>
      <c r="I725" s="3" t="s">
        <v>303</v>
      </c>
      <c r="J725" s="3" t="s">
        <v>61</v>
      </c>
      <c r="K725" s="3">
        <v>66502</v>
      </c>
      <c r="L725" s="3" t="s">
        <v>1561</v>
      </c>
      <c r="M725" s="3"/>
      <c r="N725" s="3"/>
      <c r="O725" s="3" t="s">
        <v>1562</v>
      </c>
      <c r="P725" s="3" t="s">
        <v>2981</v>
      </c>
      <c r="Q725" s="3"/>
      <c r="R725" s="3"/>
      <c r="S725" s="3" t="str">
        <f t="shared" si="31"/>
        <v>Mar 17</v>
      </c>
    </row>
    <row r="726" spans="1:19" ht="39" x14ac:dyDescent="0.25">
      <c r="A726" s="1">
        <v>40985</v>
      </c>
      <c r="B726" s="1">
        <v>40985</v>
      </c>
      <c r="C726" s="2">
        <f t="shared" si="30"/>
        <v>1</v>
      </c>
      <c r="D726" s="6" t="s">
        <v>2982</v>
      </c>
      <c r="E726" s="3" t="s">
        <v>2983</v>
      </c>
      <c r="F726" s="4" t="s">
        <v>58</v>
      </c>
      <c r="G726" s="3" t="s">
        <v>1178</v>
      </c>
      <c r="H726" s="3" t="s">
        <v>2718</v>
      </c>
      <c r="I726" s="3" t="s">
        <v>865</v>
      </c>
      <c r="J726" s="3" t="s">
        <v>61</v>
      </c>
      <c r="K726" s="3">
        <v>67601</v>
      </c>
      <c r="L726" s="3" t="s">
        <v>2720</v>
      </c>
      <c r="M726" s="3"/>
      <c r="N726" s="3" t="s">
        <v>2721</v>
      </c>
      <c r="O726" s="3" t="s">
        <v>2722</v>
      </c>
      <c r="P726" s="3" t="s">
        <v>2626</v>
      </c>
      <c r="Q726" s="3" t="s">
        <v>67</v>
      </c>
      <c r="R726" s="3" t="s">
        <v>67</v>
      </c>
      <c r="S726" s="3" t="str">
        <f t="shared" si="31"/>
        <v>Mar 17</v>
      </c>
    </row>
    <row r="727" spans="1:19" ht="39" x14ac:dyDescent="0.25">
      <c r="A727" s="16">
        <v>40985</v>
      </c>
      <c r="B727" s="16">
        <v>40985</v>
      </c>
      <c r="C727" s="2">
        <f t="shared" si="30"/>
        <v>1</v>
      </c>
      <c r="D727" s="27" t="s">
        <v>2984</v>
      </c>
      <c r="E727" s="7" t="s">
        <v>2985</v>
      </c>
      <c r="F727" s="4" t="s">
        <v>58</v>
      </c>
      <c r="G727" s="7" t="s">
        <v>2797</v>
      </c>
      <c r="H727" s="7" t="s">
        <v>2798</v>
      </c>
      <c r="I727" s="7" t="s">
        <v>71</v>
      </c>
      <c r="J727" s="7" t="s">
        <v>61</v>
      </c>
      <c r="K727" s="7">
        <v>67202</v>
      </c>
      <c r="L727" s="7" t="s">
        <v>2986</v>
      </c>
      <c r="M727" s="7"/>
      <c r="N727" s="7"/>
      <c r="O727" s="7"/>
      <c r="P727" s="7" t="s">
        <v>2801</v>
      </c>
      <c r="Q727" s="7" t="s">
        <v>67</v>
      </c>
      <c r="R727" s="7" t="s">
        <v>67</v>
      </c>
      <c r="S727" s="7" t="str">
        <f t="shared" si="31"/>
        <v>Mar 17</v>
      </c>
    </row>
    <row r="728" spans="1:19" ht="26.25" x14ac:dyDescent="0.25">
      <c r="A728" s="1">
        <v>40985</v>
      </c>
      <c r="B728" s="1">
        <v>40985</v>
      </c>
      <c r="C728" s="2">
        <f t="shared" si="30"/>
        <v>1</v>
      </c>
      <c r="D728" s="6" t="s">
        <v>2987</v>
      </c>
      <c r="E728" s="3" t="s">
        <v>2988</v>
      </c>
      <c r="F728" s="4" t="s">
        <v>58</v>
      </c>
      <c r="G728" s="3" t="s">
        <v>2989</v>
      </c>
      <c r="H728" s="3" t="s">
        <v>215</v>
      </c>
      <c r="I728" s="3" t="s">
        <v>993</v>
      </c>
      <c r="J728" s="3" t="s">
        <v>61</v>
      </c>
      <c r="K728" s="3">
        <v>66048</v>
      </c>
      <c r="L728" s="3" t="s">
        <v>2990</v>
      </c>
      <c r="M728" s="3" t="s">
        <v>1889</v>
      </c>
      <c r="N728" s="3"/>
      <c r="O728" s="3" t="s">
        <v>2991</v>
      </c>
      <c r="P728" s="3"/>
      <c r="Q728" s="3" t="s">
        <v>67</v>
      </c>
      <c r="R728" s="3"/>
      <c r="S728" s="3" t="str">
        <f t="shared" si="31"/>
        <v>Mar 17</v>
      </c>
    </row>
    <row r="729" spans="1:19" ht="26.25" x14ac:dyDescent="0.25">
      <c r="A729" s="1">
        <v>40985</v>
      </c>
      <c r="B729" s="1">
        <v>40985</v>
      </c>
      <c r="C729" s="2">
        <f t="shared" si="30"/>
        <v>1</v>
      </c>
      <c r="D729" s="6" t="s">
        <v>2949</v>
      </c>
      <c r="E729" s="3" t="s">
        <v>2992</v>
      </c>
      <c r="F729" s="4" t="s">
        <v>58</v>
      </c>
      <c r="G729" s="3" t="s">
        <v>2993</v>
      </c>
      <c r="H729" s="3" t="s">
        <v>2994</v>
      </c>
      <c r="I729" s="3" t="s">
        <v>105</v>
      </c>
      <c r="J729" s="3" t="s">
        <v>61</v>
      </c>
      <c r="K729" s="3">
        <v>66044</v>
      </c>
      <c r="L729" s="3" t="s">
        <v>2995</v>
      </c>
      <c r="M729" s="3"/>
      <c r="N729" s="3"/>
      <c r="O729" s="3"/>
      <c r="P729" s="3"/>
      <c r="Q729" s="3" t="s">
        <v>67</v>
      </c>
      <c r="R729" s="3"/>
      <c r="S729" s="3" t="str">
        <f t="shared" si="31"/>
        <v>Mar 17</v>
      </c>
    </row>
    <row r="730" spans="1:19" x14ac:dyDescent="0.25">
      <c r="A730" s="1">
        <v>40985</v>
      </c>
      <c r="B730" s="1">
        <v>40985</v>
      </c>
      <c r="C730" s="2">
        <f t="shared" si="30"/>
        <v>1</v>
      </c>
      <c r="D730" s="6" t="s">
        <v>2949</v>
      </c>
      <c r="E730" s="3" t="s">
        <v>2996</v>
      </c>
      <c r="F730" s="4" t="s">
        <v>58</v>
      </c>
      <c r="G730" s="3" t="s">
        <v>271</v>
      </c>
      <c r="H730" s="3"/>
      <c r="I730" s="3" t="s">
        <v>210</v>
      </c>
      <c r="J730" s="3" t="s">
        <v>61</v>
      </c>
      <c r="K730" s="3">
        <v>66002</v>
      </c>
      <c r="L730" s="3" t="s">
        <v>2997</v>
      </c>
      <c r="M730" s="3"/>
      <c r="N730" s="3"/>
      <c r="O730" s="3"/>
      <c r="P730" s="3"/>
      <c r="Q730" s="3" t="s">
        <v>67</v>
      </c>
      <c r="R730" s="3"/>
      <c r="S730" s="3" t="str">
        <f t="shared" si="31"/>
        <v>Mar 17</v>
      </c>
    </row>
    <row r="731" spans="1:19" ht="39" x14ac:dyDescent="0.25">
      <c r="A731" s="1">
        <v>40985</v>
      </c>
      <c r="B731" s="1">
        <v>40985</v>
      </c>
      <c r="C731" s="2">
        <f t="shared" si="30"/>
        <v>1</v>
      </c>
      <c r="D731" s="6" t="s">
        <v>2998</v>
      </c>
      <c r="E731" s="3" t="s">
        <v>2999</v>
      </c>
      <c r="F731" s="4" t="s">
        <v>58</v>
      </c>
      <c r="G731" s="3" t="s">
        <v>3000</v>
      </c>
      <c r="H731" s="3" t="s">
        <v>3001</v>
      </c>
      <c r="I731" s="3" t="s">
        <v>888</v>
      </c>
      <c r="J731" s="3" t="s">
        <v>61</v>
      </c>
      <c r="K731" s="3">
        <v>66032</v>
      </c>
      <c r="L731" s="3" t="s">
        <v>3002</v>
      </c>
      <c r="M731" s="3"/>
      <c r="N731" s="3"/>
      <c r="O731" s="3" t="s">
        <v>417</v>
      </c>
      <c r="P731" s="3" t="s">
        <v>3003</v>
      </c>
      <c r="Q731" s="3" t="s">
        <v>67</v>
      </c>
      <c r="R731" s="3"/>
      <c r="S731" s="3" t="str">
        <f t="shared" si="31"/>
        <v>Mar 17</v>
      </c>
    </row>
    <row r="732" spans="1:19" ht="26.25" x14ac:dyDescent="0.25">
      <c r="A732" s="1">
        <v>40994</v>
      </c>
      <c r="B732" s="1">
        <v>40994</v>
      </c>
      <c r="C732" s="2">
        <f t="shared" si="30"/>
        <v>1</v>
      </c>
      <c r="D732" s="6" t="s">
        <v>3015</v>
      </c>
      <c r="E732" s="3" t="s">
        <v>3016</v>
      </c>
      <c r="F732" s="4" t="s">
        <v>58</v>
      </c>
      <c r="G732" s="3" t="s">
        <v>1856</v>
      </c>
      <c r="H732" s="3" t="s">
        <v>1857</v>
      </c>
      <c r="I732" s="3" t="s">
        <v>85</v>
      </c>
      <c r="J732" s="3" t="s">
        <v>61</v>
      </c>
      <c r="K732" s="3">
        <v>67501</v>
      </c>
      <c r="L732" s="3" t="s">
        <v>1858</v>
      </c>
      <c r="M732" s="3" t="s">
        <v>1859</v>
      </c>
      <c r="N732" s="3"/>
      <c r="O732" s="3" t="s">
        <v>1860</v>
      </c>
      <c r="P732" s="3" t="s">
        <v>1861</v>
      </c>
      <c r="Q732" s="3" t="s">
        <v>67</v>
      </c>
      <c r="R732" s="3" t="s">
        <v>67</v>
      </c>
      <c r="S732" s="3" t="str">
        <f>"Mar 26"</f>
        <v>Mar 26</v>
      </c>
    </row>
    <row r="733" spans="1:19" ht="26.25" x14ac:dyDescent="0.25">
      <c r="A733" s="1">
        <v>40996</v>
      </c>
      <c r="B733" s="1">
        <v>40996</v>
      </c>
      <c r="C733" s="2">
        <f t="shared" si="30"/>
        <v>1</v>
      </c>
      <c r="D733" s="6" t="s">
        <v>2731</v>
      </c>
      <c r="E733" s="3" t="s">
        <v>3017</v>
      </c>
      <c r="F733" s="4" t="s">
        <v>58</v>
      </c>
      <c r="G733" s="3" t="s">
        <v>2972</v>
      </c>
      <c r="H733" s="3" t="s">
        <v>2718</v>
      </c>
      <c r="I733" s="3" t="s">
        <v>865</v>
      </c>
      <c r="J733" s="3" t="s">
        <v>61</v>
      </c>
      <c r="K733" s="3">
        <v>67601</v>
      </c>
      <c r="L733" s="3" t="s">
        <v>2733</v>
      </c>
      <c r="M733" s="3"/>
      <c r="N733" s="3" t="s">
        <v>3018</v>
      </c>
      <c r="O733" s="3" t="s">
        <v>2735</v>
      </c>
      <c r="P733" s="3" t="s">
        <v>2736</v>
      </c>
      <c r="Q733" s="3" t="s">
        <v>67</v>
      </c>
      <c r="R733" s="3" t="s">
        <v>67</v>
      </c>
      <c r="S733" s="3" t="str">
        <f>"Mar 28"</f>
        <v>Mar 28</v>
      </c>
    </row>
    <row r="734" spans="1:19" x14ac:dyDescent="0.25">
      <c r="A734" s="1">
        <v>40996</v>
      </c>
      <c r="B734" s="1">
        <v>40996</v>
      </c>
      <c r="C734" s="2">
        <f t="shared" si="30"/>
        <v>1</v>
      </c>
      <c r="D734" s="6" t="s">
        <v>3019</v>
      </c>
      <c r="E734" s="3" t="s">
        <v>3020</v>
      </c>
      <c r="F734" s="4" t="s">
        <v>58</v>
      </c>
      <c r="G734" s="3" t="s">
        <v>3021</v>
      </c>
      <c r="H734" s="3" t="s">
        <v>3022</v>
      </c>
      <c r="I734" s="3" t="s">
        <v>894</v>
      </c>
      <c r="J734" s="3" t="s">
        <v>61</v>
      </c>
      <c r="K734" s="3">
        <v>66901</v>
      </c>
      <c r="L734" s="3" t="s">
        <v>2582</v>
      </c>
      <c r="M734" s="3"/>
      <c r="N734" s="3"/>
      <c r="O734" s="3"/>
      <c r="P734" s="3" t="s">
        <v>2583</v>
      </c>
      <c r="Q734" s="3" t="s">
        <v>67</v>
      </c>
      <c r="R734" s="3" t="s">
        <v>67</v>
      </c>
      <c r="S734" s="3" t="str">
        <f>"Mar 28"</f>
        <v>Mar 28</v>
      </c>
    </row>
    <row r="735" spans="1:19" ht="39" x14ac:dyDescent="0.25">
      <c r="A735" s="1">
        <v>40996</v>
      </c>
      <c r="B735" s="1">
        <v>40996</v>
      </c>
      <c r="C735" s="2">
        <f t="shared" si="30"/>
        <v>1</v>
      </c>
      <c r="D735" s="6" t="s">
        <v>3023</v>
      </c>
      <c r="E735" s="3" t="s">
        <v>3024</v>
      </c>
      <c r="F735" s="4" t="s">
        <v>58</v>
      </c>
      <c r="G735" s="3" t="s">
        <v>1211</v>
      </c>
      <c r="H735" s="3" t="s">
        <v>3025</v>
      </c>
      <c r="I735" s="3" t="s">
        <v>888</v>
      </c>
      <c r="J735" s="3" t="s">
        <v>61</v>
      </c>
      <c r="K735" s="3">
        <v>66032</v>
      </c>
      <c r="L735" s="3" t="s">
        <v>2160</v>
      </c>
      <c r="M735" s="3"/>
      <c r="N735" s="3"/>
      <c r="O735" s="3" t="s">
        <v>1661</v>
      </c>
      <c r="P735" s="3" t="s">
        <v>1662</v>
      </c>
      <c r="Q735" s="3" t="s">
        <v>67</v>
      </c>
      <c r="R735" s="3" t="s">
        <v>67</v>
      </c>
      <c r="S735" s="3" t="str">
        <f>"Mar 28"</f>
        <v>Mar 28</v>
      </c>
    </row>
    <row r="736" spans="1:19" ht="26.25" x14ac:dyDescent="0.25">
      <c r="A736" s="1">
        <v>40999</v>
      </c>
      <c r="B736" s="1">
        <v>40999</v>
      </c>
      <c r="C736" s="2">
        <f t="shared" si="30"/>
        <v>1</v>
      </c>
      <c r="D736" s="6" t="s">
        <v>3026</v>
      </c>
      <c r="E736" s="3" t="s">
        <v>3027</v>
      </c>
      <c r="F736" s="4" t="s">
        <v>58</v>
      </c>
      <c r="G736" s="3" t="s">
        <v>1772</v>
      </c>
      <c r="H736" s="3" t="s">
        <v>1773</v>
      </c>
      <c r="I736" s="3" t="s">
        <v>1774</v>
      </c>
      <c r="J736" s="3" t="s">
        <v>61</v>
      </c>
      <c r="K736" s="3">
        <v>67631</v>
      </c>
      <c r="L736" s="3" t="s">
        <v>1775</v>
      </c>
      <c r="M736" s="3"/>
      <c r="N736" s="3"/>
      <c r="O736" s="3" t="s">
        <v>1776</v>
      </c>
      <c r="P736" s="3" t="s">
        <v>1777</v>
      </c>
      <c r="Q736" s="3"/>
      <c r="R736" s="3" t="s">
        <v>67</v>
      </c>
      <c r="S736" s="3" t="str">
        <f>"Mar 31"</f>
        <v>Mar 31</v>
      </c>
    </row>
    <row r="737" spans="1:19" ht="26.25" x14ac:dyDescent="0.25">
      <c r="A737" s="1">
        <v>40999</v>
      </c>
      <c r="B737" s="1">
        <v>40999</v>
      </c>
      <c r="C737" s="2">
        <f t="shared" si="30"/>
        <v>1</v>
      </c>
      <c r="D737" s="6" t="s">
        <v>3028</v>
      </c>
      <c r="E737" s="3" t="s">
        <v>3029</v>
      </c>
      <c r="F737" s="4" t="s">
        <v>58</v>
      </c>
      <c r="G737" s="3" t="s">
        <v>1348</v>
      </c>
      <c r="H737" s="3" t="s">
        <v>2007</v>
      </c>
      <c r="I737" s="3" t="s">
        <v>105</v>
      </c>
      <c r="J737" s="3" t="s">
        <v>61</v>
      </c>
      <c r="K737" s="3">
        <v>66046</v>
      </c>
      <c r="L737" s="3" t="s">
        <v>1349</v>
      </c>
      <c r="M737" s="3"/>
      <c r="N737" s="3"/>
      <c r="O737" s="3"/>
      <c r="P737" s="3"/>
      <c r="Q737" s="3" t="s">
        <v>67</v>
      </c>
      <c r="R737" s="3" t="s">
        <v>67</v>
      </c>
      <c r="S737" s="3" t="str">
        <f>"Mar 31"</f>
        <v>Mar 31</v>
      </c>
    </row>
    <row r="738" spans="1:19" ht="51.75" x14ac:dyDescent="0.25">
      <c r="A738" s="1">
        <v>40999</v>
      </c>
      <c r="B738" s="1">
        <v>40999</v>
      </c>
      <c r="C738" s="2">
        <f t="shared" si="30"/>
        <v>1</v>
      </c>
      <c r="D738" s="6" t="s">
        <v>3030</v>
      </c>
      <c r="E738" s="3" t="s">
        <v>3031</v>
      </c>
      <c r="F738" s="4" t="s">
        <v>58</v>
      </c>
      <c r="G738" s="3" t="s">
        <v>3032</v>
      </c>
      <c r="H738" s="3" t="s">
        <v>3033</v>
      </c>
      <c r="I738" s="3" t="s">
        <v>85</v>
      </c>
      <c r="J738" s="3" t="s">
        <v>61</v>
      </c>
      <c r="K738" s="3">
        <v>67501</v>
      </c>
      <c r="L738" s="3" t="s">
        <v>3034</v>
      </c>
      <c r="M738" s="3"/>
      <c r="N738" s="3"/>
      <c r="O738" s="3"/>
      <c r="P738" s="3"/>
      <c r="Q738" s="3" t="s">
        <v>67</v>
      </c>
      <c r="R738" s="3"/>
      <c r="S738" s="3" t="str">
        <f>"Mar 31"</f>
        <v>Mar 31</v>
      </c>
    </row>
    <row r="739" spans="1:19" ht="26.25" x14ac:dyDescent="0.25">
      <c r="A739" s="1">
        <v>40999</v>
      </c>
      <c r="B739" s="1">
        <v>40999</v>
      </c>
      <c r="C739" s="2">
        <f t="shared" si="30"/>
        <v>1</v>
      </c>
      <c r="D739" s="6" t="s">
        <v>3035</v>
      </c>
      <c r="E739" s="3" t="s">
        <v>3035</v>
      </c>
      <c r="F739" s="4" t="s">
        <v>58</v>
      </c>
      <c r="G739" s="3" t="s">
        <v>810</v>
      </c>
      <c r="H739" s="3" t="s">
        <v>811</v>
      </c>
      <c r="I739" s="3" t="s">
        <v>60</v>
      </c>
      <c r="J739" s="3" t="s">
        <v>61</v>
      </c>
      <c r="K739" s="3">
        <v>66612</v>
      </c>
      <c r="L739" s="3" t="s">
        <v>812</v>
      </c>
      <c r="M739" s="3"/>
      <c r="N739" s="3"/>
      <c r="O739" s="3"/>
      <c r="P739" s="3" t="s">
        <v>814</v>
      </c>
      <c r="Q739" s="3" t="s">
        <v>67</v>
      </c>
      <c r="R739" s="3" t="s">
        <v>67</v>
      </c>
      <c r="S739" s="3" t="str">
        <f>"Mar 31"</f>
        <v>Mar 31</v>
      </c>
    </row>
    <row r="740" spans="1:19" ht="39" x14ac:dyDescent="0.25">
      <c r="A740" s="1">
        <v>41005</v>
      </c>
      <c r="B740" s="1">
        <v>41005</v>
      </c>
      <c r="C740" s="2">
        <f t="shared" si="30"/>
        <v>1</v>
      </c>
      <c r="D740" s="6" t="s">
        <v>3039</v>
      </c>
      <c r="E740" s="3" t="s">
        <v>3040</v>
      </c>
      <c r="F740" s="4" t="s">
        <v>58</v>
      </c>
      <c r="G740" s="3" t="s">
        <v>3038</v>
      </c>
      <c r="H740" s="3"/>
      <c r="I740" s="3" t="s">
        <v>978</v>
      </c>
      <c r="J740" s="3" t="s">
        <v>61</v>
      </c>
      <c r="K740" s="3">
        <v>67456</v>
      </c>
      <c r="L740" s="3" t="s">
        <v>979</v>
      </c>
      <c r="M740" s="3" t="s">
        <v>980</v>
      </c>
      <c r="N740" s="3"/>
      <c r="O740" s="3" t="s">
        <v>981</v>
      </c>
      <c r="P740" s="3" t="s">
        <v>3041</v>
      </c>
      <c r="Q740" s="3" t="s">
        <v>67</v>
      </c>
      <c r="R740" s="3" t="s">
        <v>67</v>
      </c>
      <c r="S740" s="3" t="str">
        <f>"Apr 6"</f>
        <v>Apr 6</v>
      </c>
    </row>
    <row r="741" spans="1:19" ht="39" x14ac:dyDescent="0.25">
      <c r="A741" s="1">
        <v>41011</v>
      </c>
      <c r="B741" s="1">
        <v>41011</v>
      </c>
      <c r="C741" s="2">
        <f t="shared" si="30"/>
        <v>1</v>
      </c>
      <c r="D741" s="6" t="s">
        <v>3050</v>
      </c>
      <c r="E741" s="3" t="s">
        <v>3051</v>
      </c>
      <c r="F741" s="4" t="s">
        <v>58</v>
      </c>
      <c r="G741" s="3" t="s">
        <v>3052</v>
      </c>
      <c r="H741" s="3" t="s">
        <v>2718</v>
      </c>
      <c r="I741" s="3" t="s">
        <v>865</v>
      </c>
      <c r="J741" s="3" t="s">
        <v>61</v>
      </c>
      <c r="K741" s="3">
        <v>67601</v>
      </c>
      <c r="L741" s="3" t="s">
        <v>2720</v>
      </c>
      <c r="M741" s="3"/>
      <c r="N741" s="3" t="s">
        <v>2721</v>
      </c>
      <c r="O741" s="3" t="s">
        <v>2831</v>
      </c>
      <c r="P741" s="3" t="s">
        <v>2832</v>
      </c>
      <c r="Q741" s="3" t="s">
        <v>67</v>
      </c>
      <c r="R741" s="3"/>
      <c r="S741" s="3" t="str">
        <f>"Apr 12"</f>
        <v>Apr 12</v>
      </c>
    </row>
    <row r="742" spans="1:19" ht="26.25" x14ac:dyDescent="0.25">
      <c r="A742" s="1">
        <v>41013</v>
      </c>
      <c r="B742" s="1">
        <v>41013</v>
      </c>
      <c r="C742" s="2">
        <f t="shared" si="30"/>
        <v>1</v>
      </c>
      <c r="D742" s="6" t="s">
        <v>3061</v>
      </c>
      <c r="E742" s="3" t="s">
        <v>3061</v>
      </c>
      <c r="F742" s="4" t="s">
        <v>58</v>
      </c>
      <c r="G742" s="3" t="s">
        <v>2947</v>
      </c>
      <c r="H742" s="3" t="s">
        <v>552</v>
      </c>
      <c r="I742" s="3" t="s">
        <v>60</v>
      </c>
      <c r="J742" s="3" t="s">
        <v>61</v>
      </c>
      <c r="K742" s="3">
        <v>66621</v>
      </c>
      <c r="L742" s="3" t="s">
        <v>553</v>
      </c>
      <c r="M742" s="3"/>
      <c r="N742" s="3"/>
      <c r="O742" s="3"/>
      <c r="P742" s="3" t="s">
        <v>554</v>
      </c>
      <c r="Q742" s="3" t="s">
        <v>67</v>
      </c>
      <c r="R742" s="3" t="s">
        <v>67</v>
      </c>
      <c r="S742" s="3" t="str">
        <f>"Apr 14"</f>
        <v>Apr 14</v>
      </c>
    </row>
    <row r="743" spans="1:19" ht="39" x14ac:dyDescent="0.25">
      <c r="A743" s="1">
        <v>41013</v>
      </c>
      <c r="B743" s="1">
        <v>41013</v>
      </c>
      <c r="C743" s="2">
        <f t="shared" si="30"/>
        <v>1</v>
      </c>
      <c r="D743" s="6" t="s">
        <v>3062</v>
      </c>
      <c r="E743" s="3" t="s">
        <v>3063</v>
      </c>
      <c r="F743" s="4" t="s">
        <v>58</v>
      </c>
      <c r="G743" s="3" t="s">
        <v>3064</v>
      </c>
      <c r="H743" s="3"/>
      <c r="I743" s="3" t="s">
        <v>3065</v>
      </c>
      <c r="J743" s="3" t="s">
        <v>61</v>
      </c>
      <c r="K743" s="3">
        <v>66843</v>
      </c>
      <c r="L743" s="3" t="s">
        <v>3066</v>
      </c>
      <c r="M743" s="3"/>
      <c r="N743" s="3"/>
      <c r="O743" s="3" t="s">
        <v>3067</v>
      </c>
      <c r="P743" s="3" t="s">
        <v>3068</v>
      </c>
      <c r="Q743" s="3"/>
      <c r="R743" s="3" t="s">
        <v>67</v>
      </c>
      <c r="S743" s="3" t="str">
        <f>"Apr 14"</f>
        <v>Apr 14</v>
      </c>
    </row>
    <row r="744" spans="1:19" x14ac:dyDescent="0.25">
      <c r="A744" s="1">
        <v>41013</v>
      </c>
      <c r="B744" s="1">
        <v>41013</v>
      </c>
      <c r="C744" s="2">
        <f t="shared" si="30"/>
        <v>1</v>
      </c>
      <c r="D744" s="6" t="s">
        <v>1292</v>
      </c>
      <c r="E744" s="3" t="s">
        <v>1292</v>
      </c>
      <c r="F744" s="4" t="s">
        <v>58</v>
      </c>
      <c r="G744" s="3" t="s">
        <v>297</v>
      </c>
      <c r="H744" s="3"/>
      <c r="I744" s="3" t="s">
        <v>60</v>
      </c>
      <c r="J744" s="3" t="s">
        <v>61</v>
      </c>
      <c r="K744" s="3">
        <v>66606</v>
      </c>
      <c r="L744" s="3" t="s">
        <v>298</v>
      </c>
      <c r="M744" s="3"/>
      <c r="N744" s="3"/>
      <c r="O744" s="3"/>
      <c r="P744" s="3" t="s">
        <v>299</v>
      </c>
      <c r="Q744" s="3" t="s">
        <v>67</v>
      </c>
      <c r="R744" s="3" t="s">
        <v>67</v>
      </c>
      <c r="S744" s="3" t="str">
        <f>"Apr 14"</f>
        <v>Apr 14</v>
      </c>
    </row>
    <row r="745" spans="1:19" ht="26.25" x14ac:dyDescent="0.25">
      <c r="A745" s="1">
        <v>41014</v>
      </c>
      <c r="B745" s="1">
        <v>41014</v>
      </c>
      <c r="C745" s="2">
        <f t="shared" si="30"/>
        <v>1</v>
      </c>
      <c r="D745" s="6" t="s">
        <v>3069</v>
      </c>
      <c r="E745" s="3" t="s">
        <v>3070</v>
      </c>
      <c r="F745" s="4" t="s">
        <v>58</v>
      </c>
      <c r="G745" s="3" t="s">
        <v>1898</v>
      </c>
      <c r="H745" s="3" t="s">
        <v>3071</v>
      </c>
      <c r="I745" s="3" t="s">
        <v>3072</v>
      </c>
      <c r="J745" s="3" t="s">
        <v>61</v>
      </c>
      <c r="K745" s="3">
        <v>66959</v>
      </c>
      <c r="L745" s="3" t="s">
        <v>3073</v>
      </c>
      <c r="M745" s="3"/>
      <c r="N745" s="3"/>
      <c r="O745" s="3"/>
      <c r="P745" s="3"/>
      <c r="Q745" s="3" t="s">
        <v>67</v>
      </c>
      <c r="R745" s="3"/>
      <c r="S745" s="3" t="str">
        <f>"Apr 15"</f>
        <v>Apr 15</v>
      </c>
    </row>
    <row r="746" spans="1:19" ht="26.25" x14ac:dyDescent="0.25">
      <c r="A746" s="1">
        <v>41016</v>
      </c>
      <c r="B746" s="1">
        <v>41016</v>
      </c>
      <c r="C746" s="2">
        <f t="shared" si="30"/>
        <v>1</v>
      </c>
      <c r="D746" s="6" t="s">
        <v>3074</v>
      </c>
      <c r="E746" s="3" t="s">
        <v>3075</v>
      </c>
      <c r="F746" s="4" t="s">
        <v>58</v>
      </c>
      <c r="G746" s="3" t="s">
        <v>2972</v>
      </c>
      <c r="H746" s="3" t="s">
        <v>2718</v>
      </c>
      <c r="I746" s="3" t="s">
        <v>865</v>
      </c>
      <c r="J746" s="3" t="s">
        <v>61</v>
      </c>
      <c r="K746" s="3">
        <v>67601</v>
      </c>
      <c r="L746" s="3" t="s">
        <v>2733</v>
      </c>
      <c r="M746" s="3"/>
      <c r="N746" s="3" t="s">
        <v>2734</v>
      </c>
      <c r="O746" s="3" t="s">
        <v>2735</v>
      </c>
      <c r="P746" s="3" t="s">
        <v>2736</v>
      </c>
      <c r="Q746" s="3" t="s">
        <v>67</v>
      </c>
      <c r="R746" s="3" t="s">
        <v>67</v>
      </c>
      <c r="S746" s="3" t="str">
        <f>"Apr 17"</f>
        <v>Apr 17</v>
      </c>
    </row>
    <row r="747" spans="1:19" x14ac:dyDescent="0.25">
      <c r="A747" s="1">
        <v>41019</v>
      </c>
      <c r="B747" s="1">
        <v>41019</v>
      </c>
      <c r="C747" s="2">
        <f t="shared" si="30"/>
        <v>1</v>
      </c>
      <c r="D747" s="6" t="s">
        <v>1564</v>
      </c>
      <c r="E747" s="3" t="s">
        <v>1564</v>
      </c>
      <c r="F747" s="4" t="s">
        <v>58</v>
      </c>
      <c r="G747" s="3" t="s">
        <v>297</v>
      </c>
      <c r="H747" s="3"/>
      <c r="I747" s="3" t="s">
        <v>60</v>
      </c>
      <c r="J747" s="3" t="s">
        <v>61</v>
      </c>
      <c r="K747" s="3">
        <v>66606</v>
      </c>
      <c r="L747" s="3" t="s">
        <v>298</v>
      </c>
      <c r="M747" s="3"/>
      <c r="N747" s="3"/>
      <c r="O747" s="3"/>
      <c r="P747" s="3" t="s">
        <v>299</v>
      </c>
      <c r="Q747" s="3" t="s">
        <v>67</v>
      </c>
      <c r="R747" s="3" t="s">
        <v>67</v>
      </c>
      <c r="S747" s="3" t="str">
        <f>"Apr 20"</f>
        <v>Apr 20</v>
      </c>
    </row>
    <row r="748" spans="1:19" ht="39" x14ac:dyDescent="0.25">
      <c r="A748" s="1">
        <v>41020</v>
      </c>
      <c r="B748" s="1">
        <v>41020</v>
      </c>
      <c r="C748" s="2">
        <f t="shared" si="30"/>
        <v>1</v>
      </c>
      <c r="D748" s="6" t="s">
        <v>3085</v>
      </c>
      <c r="E748" s="3" t="s">
        <v>3086</v>
      </c>
      <c r="F748" s="4" t="s">
        <v>58</v>
      </c>
      <c r="G748" s="3" t="s">
        <v>3087</v>
      </c>
      <c r="H748" s="3" t="s">
        <v>3088</v>
      </c>
      <c r="I748" s="3" t="s">
        <v>865</v>
      </c>
      <c r="J748" s="3" t="s">
        <v>61</v>
      </c>
      <c r="K748" s="3">
        <v>67601</v>
      </c>
      <c r="L748" s="3" t="s">
        <v>3089</v>
      </c>
      <c r="M748" s="3"/>
      <c r="N748" s="3"/>
      <c r="O748" s="3"/>
      <c r="P748" s="3" t="s">
        <v>3090</v>
      </c>
      <c r="Q748" s="3" t="s">
        <v>67</v>
      </c>
      <c r="R748" s="3" t="s">
        <v>67</v>
      </c>
      <c r="S748" s="3" t="str">
        <f>"Apr 21"</f>
        <v>Apr 21</v>
      </c>
    </row>
    <row r="749" spans="1:19" ht="39" x14ac:dyDescent="0.25">
      <c r="A749" s="1">
        <v>41020</v>
      </c>
      <c r="B749" s="1">
        <v>41020</v>
      </c>
      <c r="C749" s="2">
        <f t="shared" si="30"/>
        <v>1</v>
      </c>
      <c r="D749" s="6" t="s">
        <v>3091</v>
      </c>
      <c r="E749" s="3" t="s">
        <v>3092</v>
      </c>
      <c r="F749" s="4" t="s">
        <v>58</v>
      </c>
      <c r="G749" s="3" t="s">
        <v>3093</v>
      </c>
      <c r="H749" s="3" t="s">
        <v>3094</v>
      </c>
      <c r="I749" s="3" t="s">
        <v>85</v>
      </c>
      <c r="J749" s="3" t="s">
        <v>61</v>
      </c>
      <c r="K749" s="3">
        <v>67502</v>
      </c>
      <c r="L749" s="3" t="s">
        <v>3095</v>
      </c>
      <c r="M749" s="3"/>
      <c r="N749" s="3"/>
      <c r="O749" s="3"/>
      <c r="P749" s="3"/>
      <c r="Q749" s="3" t="s">
        <v>67</v>
      </c>
      <c r="R749" s="3" t="s">
        <v>67</v>
      </c>
      <c r="S749" s="3" t="str">
        <f>"Apr 21"</f>
        <v>Apr 21</v>
      </c>
    </row>
    <row r="750" spans="1:19" x14ac:dyDescent="0.25">
      <c r="A750" s="1">
        <v>41020</v>
      </c>
      <c r="B750" s="1">
        <v>41020</v>
      </c>
      <c r="C750" s="2">
        <f t="shared" si="30"/>
        <v>1</v>
      </c>
      <c r="D750" s="6" t="s">
        <v>1636</v>
      </c>
      <c r="E750" s="3" t="s">
        <v>1636</v>
      </c>
      <c r="F750" s="4" t="s">
        <v>58</v>
      </c>
      <c r="G750" s="3" t="s">
        <v>297</v>
      </c>
      <c r="H750" s="3"/>
      <c r="I750" s="3" t="s">
        <v>60</v>
      </c>
      <c r="J750" s="3" t="s">
        <v>61</v>
      </c>
      <c r="K750" s="3">
        <v>66606</v>
      </c>
      <c r="L750" s="3" t="s">
        <v>298</v>
      </c>
      <c r="M750" s="3"/>
      <c r="N750" s="3"/>
      <c r="O750" s="3"/>
      <c r="P750" s="3" t="s">
        <v>299</v>
      </c>
      <c r="Q750" s="3" t="s">
        <v>67</v>
      </c>
      <c r="R750" s="3" t="s">
        <v>67</v>
      </c>
      <c r="S750" s="3" t="str">
        <f>"Apr 21"</f>
        <v>Apr 21</v>
      </c>
    </row>
    <row r="751" spans="1:19" ht="39" x14ac:dyDescent="0.25">
      <c r="A751" s="1">
        <v>41021</v>
      </c>
      <c r="B751" s="1">
        <v>41021</v>
      </c>
      <c r="C751" s="2">
        <f t="shared" si="30"/>
        <v>1</v>
      </c>
      <c r="D751" s="6" t="s">
        <v>3099</v>
      </c>
      <c r="E751" s="3" t="s">
        <v>3100</v>
      </c>
      <c r="F751" s="4" t="s">
        <v>58</v>
      </c>
      <c r="G751" s="3" t="s">
        <v>1327</v>
      </c>
      <c r="H751" s="3"/>
      <c r="I751" s="3" t="s">
        <v>60</v>
      </c>
      <c r="J751" s="3" t="s">
        <v>61</v>
      </c>
      <c r="K751" s="3">
        <v>66603</v>
      </c>
      <c r="L751" s="3" t="s">
        <v>1328</v>
      </c>
      <c r="M751" s="3"/>
      <c r="N751" s="3"/>
      <c r="O751" s="3"/>
      <c r="P751" s="3" t="s">
        <v>1329</v>
      </c>
      <c r="Q751" s="3" t="s">
        <v>67</v>
      </c>
      <c r="R751" s="3"/>
      <c r="S751" s="3" t="str">
        <f>"Apr 22"</f>
        <v>Apr 22</v>
      </c>
    </row>
    <row r="752" spans="1:19" ht="39" x14ac:dyDescent="0.25">
      <c r="A752" s="1">
        <v>41023</v>
      </c>
      <c r="B752" s="1">
        <v>41023</v>
      </c>
      <c r="C752" s="2">
        <f t="shared" si="30"/>
        <v>1</v>
      </c>
      <c r="D752" s="6" t="s">
        <v>3106</v>
      </c>
      <c r="E752" s="3" t="s">
        <v>3107</v>
      </c>
      <c r="F752" s="4" t="s">
        <v>58</v>
      </c>
      <c r="G752" s="3" t="s">
        <v>1127</v>
      </c>
      <c r="H752" s="3" t="s">
        <v>1128</v>
      </c>
      <c r="I752" s="3" t="s">
        <v>303</v>
      </c>
      <c r="J752" s="3" t="s">
        <v>61</v>
      </c>
      <c r="K752" s="3">
        <v>66502</v>
      </c>
      <c r="L752" s="3" t="s">
        <v>1129</v>
      </c>
      <c r="M752" s="3"/>
      <c r="N752" s="3"/>
      <c r="O752" s="3" t="s">
        <v>1130</v>
      </c>
      <c r="P752" s="3" t="s">
        <v>1197</v>
      </c>
      <c r="Q752" s="3" t="s">
        <v>67</v>
      </c>
      <c r="R752" s="3" t="s">
        <v>67</v>
      </c>
      <c r="S752" s="3" t="str">
        <f>"Apr 24"</f>
        <v>Apr 24</v>
      </c>
    </row>
    <row r="753" spans="1:19" ht="26.25" x14ac:dyDescent="0.25">
      <c r="A753" s="1">
        <v>41026</v>
      </c>
      <c r="B753" s="1">
        <v>41026</v>
      </c>
      <c r="C753" s="2">
        <f t="shared" si="30"/>
        <v>1</v>
      </c>
      <c r="D753" s="6" t="s">
        <v>3108</v>
      </c>
      <c r="E753" s="3" t="s">
        <v>3109</v>
      </c>
      <c r="F753" s="4" t="s">
        <v>58</v>
      </c>
      <c r="G753" s="3" t="s">
        <v>271</v>
      </c>
      <c r="H753" s="3"/>
      <c r="I753" s="3" t="s">
        <v>210</v>
      </c>
      <c r="J753" s="3" t="s">
        <v>61</v>
      </c>
      <c r="K753" s="3">
        <v>66002</v>
      </c>
      <c r="L753" s="3" t="s">
        <v>272</v>
      </c>
      <c r="M753" s="3" t="s">
        <v>273</v>
      </c>
      <c r="N753" s="3" t="s">
        <v>274</v>
      </c>
      <c r="O753" s="3" t="s">
        <v>2558</v>
      </c>
      <c r="P753" s="3" t="s">
        <v>276</v>
      </c>
      <c r="Q753" s="3" t="s">
        <v>67</v>
      </c>
      <c r="R753" s="3"/>
      <c r="S753" s="3" t="str">
        <f>"Apr 27"</f>
        <v>Apr 27</v>
      </c>
    </row>
    <row r="754" spans="1:19" ht="39" x14ac:dyDescent="0.25">
      <c r="A754" s="1">
        <v>41026</v>
      </c>
      <c r="B754" s="1">
        <v>41026</v>
      </c>
      <c r="C754" s="2">
        <f t="shared" si="30"/>
        <v>1</v>
      </c>
      <c r="D754" s="6" t="s">
        <v>3110</v>
      </c>
      <c r="E754" s="3" t="s">
        <v>3111</v>
      </c>
      <c r="F754" s="4" t="s">
        <v>58</v>
      </c>
      <c r="G754" s="3" t="s">
        <v>3112</v>
      </c>
      <c r="H754" s="3" t="s">
        <v>3113</v>
      </c>
      <c r="I754" s="3" t="s">
        <v>865</v>
      </c>
      <c r="J754" s="3" t="s">
        <v>61</v>
      </c>
      <c r="K754" s="3">
        <v>67601</v>
      </c>
      <c r="L754" s="3" t="s">
        <v>3114</v>
      </c>
      <c r="M754" s="3"/>
      <c r="N754" s="3"/>
      <c r="O754" s="3" t="s">
        <v>3115</v>
      </c>
      <c r="P754" s="3" t="s">
        <v>3116</v>
      </c>
      <c r="Q754" s="3" t="s">
        <v>67</v>
      </c>
      <c r="R754" s="3"/>
      <c r="S754" s="3" t="str">
        <f>"Apr 27"</f>
        <v>Apr 27</v>
      </c>
    </row>
    <row r="755" spans="1:19" ht="39" x14ac:dyDescent="0.25">
      <c r="A755" s="1">
        <v>41027</v>
      </c>
      <c r="B755" s="1">
        <v>41027</v>
      </c>
      <c r="C755" s="2">
        <f t="shared" si="30"/>
        <v>1</v>
      </c>
      <c r="D755" s="6" t="s">
        <v>3140</v>
      </c>
      <c r="E755" s="3" t="s">
        <v>3141</v>
      </c>
      <c r="F755" s="4" t="s">
        <v>58</v>
      </c>
      <c r="G755" s="3" t="s">
        <v>3142</v>
      </c>
      <c r="H755" s="3"/>
      <c r="I755" s="3" t="s">
        <v>993</v>
      </c>
      <c r="J755" s="3" t="s">
        <v>61</v>
      </c>
      <c r="K755" s="3">
        <v>66048</v>
      </c>
      <c r="L755" s="3" t="s">
        <v>3143</v>
      </c>
      <c r="M755" s="3"/>
      <c r="N755" s="3"/>
      <c r="O755" s="3" t="s">
        <v>3144</v>
      </c>
      <c r="P755" s="3" t="s">
        <v>3145</v>
      </c>
      <c r="Q755" s="3" t="s">
        <v>67</v>
      </c>
      <c r="R755" s="3" t="s">
        <v>67</v>
      </c>
      <c r="S755" s="3" t="str">
        <f t="shared" ref="S755:S761" si="32">"Apr 28"</f>
        <v>Apr 28</v>
      </c>
    </row>
    <row r="756" spans="1:19" ht="26.25" x14ac:dyDescent="0.25">
      <c r="A756" s="1">
        <v>41027</v>
      </c>
      <c r="B756" s="1">
        <v>41027</v>
      </c>
      <c r="C756" s="2">
        <f t="shared" si="30"/>
        <v>1</v>
      </c>
      <c r="D756" s="6" t="s">
        <v>3146</v>
      </c>
      <c r="E756" s="3" t="s">
        <v>3147</v>
      </c>
      <c r="F756" s="4" t="s">
        <v>58</v>
      </c>
      <c r="G756" s="3" t="s">
        <v>3148</v>
      </c>
      <c r="H756" s="3" t="s">
        <v>3149</v>
      </c>
      <c r="I756" s="3" t="s">
        <v>3150</v>
      </c>
      <c r="J756" s="3" t="s">
        <v>61</v>
      </c>
      <c r="K756" s="3">
        <v>66538</v>
      </c>
      <c r="L756" s="3" t="s">
        <v>3151</v>
      </c>
      <c r="M756" s="3"/>
      <c r="N756" s="3"/>
      <c r="O756" s="3" t="s">
        <v>3152</v>
      </c>
      <c r="P756" s="3"/>
      <c r="Q756" s="3" t="s">
        <v>67</v>
      </c>
      <c r="R756" s="3"/>
      <c r="S756" s="3" t="str">
        <f t="shared" si="32"/>
        <v>Apr 28</v>
      </c>
    </row>
    <row r="757" spans="1:19" ht="26.25" x14ac:dyDescent="0.25">
      <c r="A757" s="1">
        <v>41027</v>
      </c>
      <c r="B757" s="1">
        <v>41027</v>
      </c>
      <c r="C757" s="2">
        <f t="shared" si="30"/>
        <v>1</v>
      </c>
      <c r="D757" s="6" t="s">
        <v>3153</v>
      </c>
      <c r="E757" s="3" t="s">
        <v>3153</v>
      </c>
      <c r="F757" s="4" t="s">
        <v>58</v>
      </c>
      <c r="G757" s="3" t="s">
        <v>3154</v>
      </c>
      <c r="H757" s="3" t="s">
        <v>3155</v>
      </c>
      <c r="I757" s="3" t="s">
        <v>60</v>
      </c>
      <c r="J757" s="3" t="s">
        <v>61</v>
      </c>
      <c r="K757" s="3">
        <v>66610</v>
      </c>
      <c r="L757" s="3" t="s">
        <v>3156</v>
      </c>
      <c r="M757" s="3"/>
      <c r="N757" s="3"/>
      <c r="O757" s="3"/>
      <c r="P757" s="3" t="s">
        <v>3157</v>
      </c>
      <c r="Q757" s="3" t="s">
        <v>67</v>
      </c>
      <c r="R757" s="3" t="s">
        <v>67</v>
      </c>
      <c r="S757" s="3" t="str">
        <f t="shared" si="32"/>
        <v>Apr 28</v>
      </c>
    </row>
    <row r="758" spans="1:19" ht="26.25" x14ac:dyDescent="0.25">
      <c r="A758" s="1">
        <v>41027</v>
      </c>
      <c r="B758" s="1">
        <v>41027</v>
      </c>
      <c r="C758" s="2">
        <f t="shared" si="30"/>
        <v>1</v>
      </c>
      <c r="D758" s="6" t="s">
        <v>3158</v>
      </c>
      <c r="E758" s="3" t="s">
        <v>2669</v>
      </c>
      <c r="F758" s="4" t="s">
        <v>58</v>
      </c>
      <c r="G758" s="3" t="s">
        <v>3159</v>
      </c>
      <c r="H758" s="3"/>
      <c r="I758" s="3" t="s">
        <v>978</v>
      </c>
      <c r="J758" s="3" t="s">
        <v>61</v>
      </c>
      <c r="K758" s="3">
        <v>67456</v>
      </c>
      <c r="L758" s="3" t="s">
        <v>3160</v>
      </c>
      <c r="M758" s="3" t="s">
        <v>980</v>
      </c>
      <c r="N758" s="3"/>
      <c r="O758" s="3" t="s">
        <v>981</v>
      </c>
      <c r="P758" s="3" t="s">
        <v>982</v>
      </c>
      <c r="Q758" s="3" t="s">
        <v>67</v>
      </c>
      <c r="R758" s="3"/>
      <c r="S758" s="3" t="str">
        <f t="shared" si="32"/>
        <v>Apr 28</v>
      </c>
    </row>
    <row r="759" spans="1:19" ht="39" x14ac:dyDescent="0.25">
      <c r="A759" s="1">
        <v>41027</v>
      </c>
      <c r="B759" s="1">
        <v>41027</v>
      </c>
      <c r="C759" s="2">
        <f t="shared" si="30"/>
        <v>1</v>
      </c>
      <c r="D759" s="6" t="s">
        <v>3161</v>
      </c>
      <c r="E759" s="3" t="s">
        <v>3162</v>
      </c>
      <c r="F759" s="4" t="s">
        <v>58</v>
      </c>
      <c r="G759" s="3" t="s">
        <v>3163</v>
      </c>
      <c r="H759" s="3" t="s">
        <v>3164</v>
      </c>
      <c r="I759" s="3" t="s">
        <v>1303</v>
      </c>
      <c r="J759" s="3" t="s">
        <v>61</v>
      </c>
      <c r="K759" s="3">
        <v>66720</v>
      </c>
      <c r="L759" s="3" t="s">
        <v>1304</v>
      </c>
      <c r="M759" s="3"/>
      <c r="N759" s="3"/>
      <c r="O759" s="3"/>
      <c r="P759" s="3"/>
      <c r="Q759" s="3" t="s">
        <v>67</v>
      </c>
      <c r="R759" s="3"/>
      <c r="S759" s="3" t="str">
        <f t="shared" si="32"/>
        <v>Apr 28</v>
      </c>
    </row>
    <row r="760" spans="1:19" ht="51.75" x14ac:dyDescent="0.25">
      <c r="A760" s="1">
        <v>41027</v>
      </c>
      <c r="B760" s="1">
        <v>41027</v>
      </c>
      <c r="C760" s="2">
        <f t="shared" si="30"/>
        <v>1</v>
      </c>
      <c r="D760" s="6" t="s">
        <v>3165</v>
      </c>
      <c r="E760" s="3" t="s">
        <v>3166</v>
      </c>
      <c r="F760" s="4" t="s">
        <v>58</v>
      </c>
      <c r="G760" s="3" t="s">
        <v>1178</v>
      </c>
      <c r="H760" s="3" t="s">
        <v>2718</v>
      </c>
      <c r="I760" s="3" t="s">
        <v>865</v>
      </c>
      <c r="J760" s="3" t="s">
        <v>61</v>
      </c>
      <c r="K760" s="3">
        <v>67601</v>
      </c>
      <c r="L760" s="3" t="s">
        <v>2720</v>
      </c>
      <c r="M760" s="3"/>
      <c r="N760" s="3" t="s">
        <v>2721</v>
      </c>
      <c r="O760" s="3" t="s">
        <v>2722</v>
      </c>
      <c r="P760" s="3" t="s">
        <v>3167</v>
      </c>
      <c r="Q760" s="3" t="s">
        <v>67</v>
      </c>
      <c r="R760" s="3" t="s">
        <v>67</v>
      </c>
      <c r="S760" s="3" t="str">
        <f t="shared" si="32"/>
        <v>Apr 28</v>
      </c>
    </row>
    <row r="761" spans="1:19" ht="26.25" x14ac:dyDescent="0.25">
      <c r="A761" s="1">
        <v>41027</v>
      </c>
      <c r="B761" s="1">
        <v>41027</v>
      </c>
      <c r="C761" s="2">
        <f t="shared" si="30"/>
        <v>1</v>
      </c>
      <c r="D761" s="6" t="s">
        <v>3168</v>
      </c>
      <c r="E761" s="3" t="s">
        <v>3169</v>
      </c>
      <c r="F761" s="4" t="s">
        <v>58</v>
      </c>
      <c r="G761" s="3" t="s">
        <v>3126</v>
      </c>
      <c r="H761" s="3"/>
      <c r="I761" s="3" t="s">
        <v>1303</v>
      </c>
      <c r="J761" s="3" t="s">
        <v>61</v>
      </c>
      <c r="K761" s="3">
        <v>66720</v>
      </c>
      <c r="L761" s="3" t="s">
        <v>1304</v>
      </c>
      <c r="M761" s="3" t="s">
        <v>1305</v>
      </c>
      <c r="N761" s="3" t="s">
        <v>3170</v>
      </c>
      <c r="O761" s="3" t="s">
        <v>1307</v>
      </c>
      <c r="P761" s="3" t="s">
        <v>1308</v>
      </c>
      <c r="Q761" s="3" t="s">
        <v>67</v>
      </c>
      <c r="R761" s="3"/>
      <c r="S761" s="3" t="str">
        <f t="shared" si="32"/>
        <v>Apr 28</v>
      </c>
    </row>
    <row r="762" spans="1:19" ht="26.25" x14ac:dyDescent="0.25">
      <c r="A762" s="1">
        <v>41028</v>
      </c>
      <c r="B762" s="1">
        <v>41028</v>
      </c>
      <c r="C762" s="2">
        <f t="shared" si="30"/>
        <v>1</v>
      </c>
      <c r="D762" s="6" t="s">
        <v>3171</v>
      </c>
      <c r="E762" s="3" t="s">
        <v>3172</v>
      </c>
      <c r="F762" s="4" t="s">
        <v>58</v>
      </c>
      <c r="G762" s="3" t="s">
        <v>3173</v>
      </c>
      <c r="H762" s="3" t="s">
        <v>3174</v>
      </c>
      <c r="I762" s="3" t="s">
        <v>91</v>
      </c>
      <c r="J762" s="3" t="s">
        <v>61</v>
      </c>
      <c r="K762" s="3">
        <v>66801</v>
      </c>
      <c r="L762" s="3" t="s">
        <v>3175</v>
      </c>
      <c r="M762" s="3"/>
      <c r="N762" s="3"/>
      <c r="O762" s="3"/>
      <c r="P762" s="3"/>
      <c r="Q762" s="3"/>
      <c r="R762" s="3"/>
      <c r="S762" s="3" t="str">
        <f>"Apr 29"</f>
        <v>Apr 29</v>
      </c>
    </row>
    <row r="763" spans="1:19" ht="51.75" x14ac:dyDescent="0.25">
      <c r="A763" s="1">
        <v>41028</v>
      </c>
      <c r="B763" s="1">
        <v>41028</v>
      </c>
      <c r="C763" s="2">
        <f t="shared" si="30"/>
        <v>1</v>
      </c>
      <c r="D763" s="6" t="s">
        <v>3176</v>
      </c>
      <c r="E763" s="3" t="s">
        <v>3177</v>
      </c>
      <c r="F763" s="4" t="s">
        <v>58</v>
      </c>
      <c r="G763" s="3" t="s">
        <v>1127</v>
      </c>
      <c r="H763" s="3" t="s">
        <v>1128</v>
      </c>
      <c r="I763" s="3" t="s">
        <v>303</v>
      </c>
      <c r="J763" s="3" t="s">
        <v>61</v>
      </c>
      <c r="K763" s="3">
        <v>66502</v>
      </c>
      <c r="L763" s="3" t="s">
        <v>1129</v>
      </c>
      <c r="M763" s="3"/>
      <c r="N763" s="3"/>
      <c r="O763" s="3" t="s">
        <v>1130</v>
      </c>
      <c r="P763" s="3" t="s">
        <v>1197</v>
      </c>
      <c r="Q763" s="3"/>
      <c r="R763" s="3"/>
      <c r="S763" s="3" t="str">
        <f>"Apr 29"</f>
        <v>Apr 29</v>
      </c>
    </row>
    <row r="764" spans="1:19" ht="39" x14ac:dyDescent="0.25">
      <c r="A764" s="1">
        <v>41030</v>
      </c>
      <c r="B764" s="1">
        <v>41030</v>
      </c>
      <c r="C764" s="2">
        <f t="shared" si="30"/>
        <v>1</v>
      </c>
      <c r="D764" s="6" t="s">
        <v>3178</v>
      </c>
      <c r="E764" s="3" t="s">
        <v>3179</v>
      </c>
      <c r="F764" s="4" t="s">
        <v>58</v>
      </c>
      <c r="G764" s="3" t="s">
        <v>3180</v>
      </c>
      <c r="H764" s="3" t="s">
        <v>3181</v>
      </c>
      <c r="I764" s="3" t="s">
        <v>865</v>
      </c>
      <c r="J764" s="3" t="s">
        <v>61</v>
      </c>
      <c r="K764" s="3">
        <v>67601</v>
      </c>
      <c r="L764" s="3" t="s">
        <v>3114</v>
      </c>
      <c r="M764" s="3"/>
      <c r="N764" s="3"/>
      <c r="O764" s="3" t="s">
        <v>3115</v>
      </c>
      <c r="P764" s="3" t="s">
        <v>3116</v>
      </c>
      <c r="Q764" s="3" t="s">
        <v>67</v>
      </c>
      <c r="R764" s="3"/>
      <c r="S764" s="3" t="str">
        <f>"May 1"</f>
        <v>May 1</v>
      </c>
    </row>
    <row r="765" spans="1:19" ht="39" x14ac:dyDescent="0.25">
      <c r="A765" s="1">
        <v>41031</v>
      </c>
      <c r="B765" s="1">
        <v>41031</v>
      </c>
      <c r="C765" s="2">
        <f t="shared" si="30"/>
        <v>1</v>
      </c>
      <c r="D765" s="6" t="s">
        <v>3189</v>
      </c>
      <c r="E765" s="3" t="s">
        <v>2985</v>
      </c>
      <c r="F765" s="4" t="s">
        <v>58</v>
      </c>
      <c r="G765" s="3" t="s">
        <v>2797</v>
      </c>
      <c r="H765" s="3" t="s">
        <v>2798</v>
      </c>
      <c r="I765" s="3" t="s">
        <v>71</v>
      </c>
      <c r="J765" s="3" t="s">
        <v>61</v>
      </c>
      <c r="K765" s="3">
        <v>67202</v>
      </c>
      <c r="L765" s="3" t="s">
        <v>2986</v>
      </c>
      <c r="M765" s="3"/>
      <c r="N765" s="3"/>
      <c r="O765" s="3"/>
      <c r="P765" s="3" t="s">
        <v>2801</v>
      </c>
      <c r="Q765" s="3" t="s">
        <v>67</v>
      </c>
      <c r="R765" s="3" t="s">
        <v>67</v>
      </c>
      <c r="S765" s="3" t="str">
        <f>"May 2"</f>
        <v>May 2</v>
      </c>
    </row>
    <row r="766" spans="1:19" x14ac:dyDescent="0.25">
      <c r="A766" s="1">
        <v>41031</v>
      </c>
      <c r="B766" s="1">
        <v>41031</v>
      </c>
      <c r="C766" s="2">
        <f t="shared" si="30"/>
        <v>1</v>
      </c>
      <c r="D766" s="6" t="s">
        <v>3190</v>
      </c>
      <c r="E766" s="3" t="s">
        <v>3190</v>
      </c>
      <c r="F766" s="4" t="s">
        <v>58</v>
      </c>
      <c r="G766" s="3" t="s">
        <v>837</v>
      </c>
      <c r="H766" s="3"/>
      <c r="I766" s="3" t="s">
        <v>60</v>
      </c>
      <c r="J766" s="3" t="s">
        <v>61</v>
      </c>
      <c r="K766" s="3">
        <v>66603</v>
      </c>
      <c r="L766" s="3" t="s">
        <v>838</v>
      </c>
      <c r="M766" s="3" t="s">
        <v>813</v>
      </c>
      <c r="N766" s="3"/>
      <c r="O766" s="3"/>
      <c r="P766" s="3" t="s">
        <v>839</v>
      </c>
      <c r="Q766" s="3" t="s">
        <v>67</v>
      </c>
      <c r="R766" s="3" t="s">
        <v>67</v>
      </c>
      <c r="S766" s="3" t="str">
        <f>"May 2"</f>
        <v>May 2</v>
      </c>
    </row>
    <row r="767" spans="1:19" ht="39" x14ac:dyDescent="0.25">
      <c r="A767" s="1">
        <v>41034</v>
      </c>
      <c r="B767" s="1">
        <v>41034</v>
      </c>
      <c r="C767" s="2">
        <f t="shared" si="30"/>
        <v>1</v>
      </c>
      <c r="D767" s="6" t="s">
        <v>3214</v>
      </c>
      <c r="E767" s="3" t="s">
        <v>3215</v>
      </c>
      <c r="F767" s="4" t="s">
        <v>58</v>
      </c>
      <c r="G767" s="3" t="s">
        <v>3216</v>
      </c>
      <c r="H767" s="3" t="s">
        <v>3217</v>
      </c>
      <c r="I767" s="3" t="s">
        <v>303</v>
      </c>
      <c r="J767" s="3" t="s">
        <v>61</v>
      </c>
      <c r="K767" s="3">
        <v>66502</v>
      </c>
      <c r="L767" s="3" t="s">
        <v>3218</v>
      </c>
      <c r="M767" s="3"/>
      <c r="N767" s="3"/>
      <c r="O767" s="3" t="s">
        <v>3219</v>
      </c>
      <c r="P767" s="3" t="s">
        <v>3220</v>
      </c>
      <c r="Q767" s="3"/>
      <c r="R767" s="3"/>
      <c r="S767" s="3" t="str">
        <f>"May 5"</f>
        <v>May 5</v>
      </c>
    </row>
    <row r="768" spans="1:19" x14ac:dyDescent="0.25">
      <c r="A768" s="1">
        <v>41034</v>
      </c>
      <c r="B768" s="1">
        <v>41034</v>
      </c>
      <c r="C768" s="2">
        <f t="shared" si="30"/>
        <v>1</v>
      </c>
      <c r="D768" s="6" t="s">
        <v>3221</v>
      </c>
      <c r="E768" s="3" t="s">
        <v>3222</v>
      </c>
      <c r="F768" s="4" t="s">
        <v>58</v>
      </c>
      <c r="G768" s="3" t="s">
        <v>3223</v>
      </c>
      <c r="H768" s="3"/>
      <c r="I768" s="3" t="s">
        <v>530</v>
      </c>
      <c r="J768" s="3" t="s">
        <v>61</v>
      </c>
      <c r="K768" s="3">
        <v>67460</v>
      </c>
      <c r="L768" s="3" t="s">
        <v>3224</v>
      </c>
      <c r="M768" s="3" t="s">
        <v>2395</v>
      </c>
      <c r="N768" s="3"/>
      <c r="O768" s="3"/>
      <c r="P768" s="3" t="s">
        <v>3225</v>
      </c>
      <c r="Q768" s="3" t="s">
        <v>67</v>
      </c>
      <c r="R768" s="3"/>
      <c r="S768" s="3" t="str">
        <f>"May 5"</f>
        <v>May 5</v>
      </c>
    </row>
    <row r="769" spans="1:19" x14ac:dyDescent="0.25">
      <c r="A769" s="1">
        <v>41034</v>
      </c>
      <c r="B769" s="1">
        <v>41034</v>
      </c>
      <c r="C769" s="2">
        <f t="shared" si="30"/>
        <v>1</v>
      </c>
      <c r="D769" s="6" t="s">
        <v>3226</v>
      </c>
      <c r="E769" s="3" t="s">
        <v>3227</v>
      </c>
      <c r="F769" s="4" t="s">
        <v>58</v>
      </c>
      <c r="G769" s="3" t="s">
        <v>3228</v>
      </c>
      <c r="H769" s="3"/>
      <c r="I769" s="3" t="s">
        <v>315</v>
      </c>
      <c r="J769" s="3" t="s">
        <v>61</v>
      </c>
      <c r="K769" s="3">
        <v>66043</v>
      </c>
      <c r="L769" s="3" t="s">
        <v>949</v>
      </c>
      <c r="M769" s="3"/>
      <c r="N769" s="3" t="s">
        <v>950</v>
      </c>
      <c r="O769" s="3" t="s">
        <v>951</v>
      </c>
      <c r="P769" s="3" t="s">
        <v>317</v>
      </c>
      <c r="Q769" s="3" t="s">
        <v>67</v>
      </c>
      <c r="R769" s="3"/>
      <c r="S769" s="3" t="str">
        <f>"May 5"</f>
        <v>May 5</v>
      </c>
    </row>
    <row r="770" spans="1:19" x14ac:dyDescent="0.25">
      <c r="A770" s="1">
        <v>41035</v>
      </c>
      <c r="B770" s="1">
        <v>41035</v>
      </c>
      <c r="C770" s="2">
        <f t="shared" ref="C770:C833" si="33">(B770-A770)+1</f>
        <v>1</v>
      </c>
      <c r="D770" s="6" t="s">
        <v>3229</v>
      </c>
      <c r="E770" s="3" t="s">
        <v>3230</v>
      </c>
      <c r="F770" s="4" t="s">
        <v>58</v>
      </c>
      <c r="G770" s="3" t="s">
        <v>3231</v>
      </c>
      <c r="H770" s="3" t="s">
        <v>3232</v>
      </c>
      <c r="I770" s="3" t="s">
        <v>105</v>
      </c>
      <c r="J770" s="3" t="s">
        <v>61</v>
      </c>
      <c r="K770" s="3">
        <v>66044</v>
      </c>
      <c r="L770" s="3" t="s">
        <v>3233</v>
      </c>
      <c r="M770" s="3"/>
      <c r="N770" s="3"/>
      <c r="O770" s="3"/>
      <c r="P770" s="3"/>
      <c r="Q770" s="3" t="s">
        <v>67</v>
      </c>
      <c r="R770" s="3"/>
      <c r="S770" s="3" t="str">
        <f>"May 6"</f>
        <v>May 6</v>
      </c>
    </row>
    <row r="771" spans="1:19" ht="39" x14ac:dyDescent="0.25">
      <c r="A771" s="1">
        <v>41035</v>
      </c>
      <c r="B771" s="1">
        <v>41035</v>
      </c>
      <c r="C771" s="2">
        <f t="shared" si="33"/>
        <v>1</v>
      </c>
      <c r="D771" s="6" t="s">
        <v>3234</v>
      </c>
      <c r="E771" s="3" t="s">
        <v>3235</v>
      </c>
      <c r="F771" s="4" t="s">
        <v>58</v>
      </c>
      <c r="G771" s="3" t="s">
        <v>3236</v>
      </c>
      <c r="H771" s="3" t="s">
        <v>3237</v>
      </c>
      <c r="I771" s="3" t="s">
        <v>3238</v>
      </c>
      <c r="J771" s="3" t="s">
        <v>61</v>
      </c>
      <c r="K771" s="3">
        <v>67660</v>
      </c>
      <c r="L771" s="3" t="s">
        <v>3239</v>
      </c>
      <c r="M771" s="3"/>
      <c r="N771" s="3"/>
      <c r="O771" s="3" t="s">
        <v>3240</v>
      </c>
      <c r="P771" s="3" t="s">
        <v>3241</v>
      </c>
      <c r="Q771" s="3" t="s">
        <v>67</v>
      </c>
      <c r="R771" s="3"/>
      <c r="S771" s="3" t="str">
        <f>"May 6"</f>
        <v>May 6</v>
      </c>
    </row>
    <row r="772" spans="1:19" ht="39" x14ac:dyDescent="0.25">
      <c r="A772" s="1">
        <v>41035</v>
      </c>
      <c r="B772" s="1">
        <v>41035</v>
      </c>
      <c r="C772" s="2">
        <f t="shared" si="33"/>
        <v>1</v>
      </c>
      <c r="D772" s="6" t="s">
        <v>3242</v>
      </c>
      <c r="E772" s="3" t="s">
        <v>3243</v>
      </c>
      <c r="F772" s="4" t="s">
        <v>58</v>
      </c>
      <c r="G772" s="3" t="s">
        <v>3244</v>
      </c>
      <c r="H772" s="3"/>
      <c r="I772" s="3" t="s">
        <v>865</v>
      </c>
      <c r="J772" s="3" t="s">
        <v>61</v>
      </c>
      <c r="K772" s="3">
        <v>67601</v>
      </c>
      <c r="L772" s="3" t="s">
        <v>3245</v>
      </c>
      <c r="M772" s="3"/>
      <c r="N772" s="3"/>
      <c r="O772" s="3" t="s">
        <v>3246</v>
      </c>
      <c r="P772" s="3"/>
      <c r="Q772" s="3" t="s">
        <v>67</v>
      </c>
      <c r="R772" s="3"/>
      <c r="S772" s="3" t="str">
        <f>"May 6"</f>
        <v>May 6</v>
      </c>
    </row>
    <row r="773" spans="1:19" ht="26.25" x14ac:dyDescent="0.25">
      <c r="A773" s="1">
        <v>41035</v>
      </c>
      <c r="B773" s="1">
        <v>41035</v>
      </c>
      <c r="C773" s="2">
        <f t="shared" si="33"/>
        <v>1</v>
      </c>
      <c r="D773" s="6" t="s">
        <v>3247</v>
      </c>
      <c r="E773" s="3" t="s">
        <v>3248</v>
      </c>
      <c r="F773" s="4" t="s">
        <v>58</v>
      </c>
      <c r="G773" s="3" t="s">
        <v>3249</v>
      </c>
      <c r="H773" s="3"/>
      <c r="I773" s="3" t="s">
        <v>865</v>
      </c>
      <c r="J773" s="3" t="s">
        <v>61</v>
      </c>
      <c r="K773" s="3">
        <v>67601</v>
      </c>
      <c r="L773" s="3" t="s">
        <v>1999</v>
      </c>
      <c r="M773" s="3"/>
      <c r="N773" s="3" t="s">
        <v>2000</v>
      </c>
      <c r="O773" s="3" t="s">
        <v>2001</v>
      </c>
      <c r="P773" s="3" t="s">
        <v>2002</v>
      </c>
      <c r="Q773" s="3" t="s">
        <v>67</v>
      </c>
      <c r="R773" s="3" t="s">
        <v>67</v>
      </c>
      <c r="S773" s="3" t="str">
        <f>"May 6"</f>
        <v>May 6</v>
      </c>
    </row>
    <row r="774" spans="1:19" ht="26.25" x14ac:dyDescent="0.25">
      <c r="A774" s="1">
        <v>41041</v>
      </c>
      <c r="B774" s="1">
        <v>41041</v>
      </c>
      <c r="C774" s="2">
        <f t="shared" si="33"/>
        <v>1</v>
      </c>
      <c r="D774" s="6" t="s">
        <v>3255</v>
      </c>
      <c r="E774" s="3" t="s">
        <v>3256</v>
      </c>
      <c r="F774" s="4" t="s">
        <v>58</v>
      </c>
      <c r="G774" s="3" t="s">
        <v>3257</v>
      </c>
      <c r="H774" s="3"/>
      <c r="I774" s="3" t="s">
        <v>2226</v>
      </c>
      <c r="J774" s="3" t="s">
        <v>61</v>
      </c>
      <c r="K774" s="3">
        <v>66762</v>
      </c>
      <c r="L774" s="3" t="s">
        <v>3258</v>
      </c>
      <c r="M774" s="3"/>
      <c r="N774" s="3"/>
      <c r="O774" s="3" t="s">
        <v>3259</v>
      </c>
      <c r="P774" s="3" t="s">
        <v>3260</v>
      </c>
      <c r="Q774" s="3" t="s">
        <v>67</v>
      </c>
      <c r="R774" s="3"/>
      <c r="S774" s="3" t="str">
        <f>"May 12"</f>
        <v>May 12</v>
      </c>
    </row>
    <row r="775" spans="1:19" ht="39" x14ac:dyDescent="0.25">
      <c r="A775" s="1">
        <v>41041</v>
      </c>
      <c r="B775" s="1">
        <v>41041</v>
      </c>
      <c r="C775" s="2">
        <f t="shared" si="33"/>
        <v>1</v>
      </c>
      <c r="D775" s="6" t="s">
        <v>3261</v>
      </c>
      <c r="E775" s="3" t="s">
        <v>3262</v>
      </c>
      <c r="F775" s="4" t="s">
        <v>58</v>
      </c>
      <c r="G775" s="3" t="s">
        <v>3263</v>
      </c>
      <c r="H775" s="3" t="s">
        <v>3264</v>
      </c>
      <c r="I775" s="3" t="s">
        <v>1866</v>
      </c>
      <c r="J775" s="3" t="s">
        <v>61</v>
      </c>
      <c r="K775" s="3">
        <v>67104</v>
      </c>
      <c r="L775" s="3" t="s">
        <v>3265</v>
      </c>
      <c r="M775" s="3"/>
      <c r="N775" s="3"/>
      <c r="O775" s="3"/>
      <c r="P775" s="3"/>
      <c r="Q775" s="3" t="s">
        <v>67</v>
      </c>
      <c r="R775" s="3" t="s">
        <v>67</v>
      </c>
      <c r="S775" s="3" t="str">
        <f>"May 12"</f>
        <v>May 12</v>
      </c>
    </row>
    <row r="776" spans="1:19" x14ac:dyDescent="0.25">
      <c r="A776" s="1">
        <v>41041</v>
      </c>
      <c r="B776" s="1">
        <v>41041</v>
      </c>
      <c r="C776" s="2">
        <f t="shared" si="33"/>
        <v>1</v>
      </c>
      <c r="D776" s="6" t="s">
        <v>897</v>
      </c>
      <c r="E776" s="3" t="s">
        <v>897</v>
      </c>
      <c r="F776" s="4" t="s">
        <v>58</v>
      </c>
      <c r="G776" s="3" t="s">
        <v>297</v>
      </c>
      <c r="H776" s="3"/>
      <c r="I776" s="3" t="s">
        <v>60</v>
      </c>
      <c r="J776" s="3" t="s">
        <v>61</v>
      </c>
      <c r="K776" s="3">
        <v>66606</v>
      </c>
      <c r="L776" s="3" t="s">
        <v>298</v>
      </c>
      <c r="M776" s="3"/>
      <c r="N776" s="3"/>
      <c r="O776" s="3"/>
      <c r="P776" s="3" t="s">
        <v>299</v>
      </c>
      <c r="Q776" s="3" t="s">
        <v>67</v>
      </c>
      <c r="R776" s="3" t="s">
        <v>67</v>
      </c>
      <c r="S776" s="3" t="str">
        <f>"May 12"</f>
        <v>May 12</v>
      </c>
    </row>
    <row r="777" spans="1:19" x14ac:dyDescent="0.25">
      <c r="A777" s="1">
        <v>41047</v>
      </c>
      <c r="B777" s="1">
        <v>41047</v>
      </c>
      <c r="C777" s="2">
        <f t="shared" si="33"/>
        <v>1</v>
      </c>
      <c r="D777" s="6" t="s">
        <v>3277</v>
      </c>
      <c r="E777" s="3" t="s">
        <v>3278</v>
      </c>
      <c r="F777" s="4" t="s">
        <v>58</v>
      </c>
      <c r="G777" s="3" t="s">
        <v>2141</v>
      </c>
      <c r="H777" s="3" t="s">
        <v>3279</v>
      </c>
      <c r="I777" s="3" t="s">
        <v>105</v>
      </c>
      <c r="J777" s="3" t="s">
        <v>61</v>
      </c>
      <c r="K777" s="3">
        <v>66044</v>
      </c>
      <c r="L777" s="3" t="s">
        <v>2143</v>
      </c>
      <c r="M777" s="3"/>
      <c r="N777" s="3"/>
      <c r="O777" s="3" t="s">
        <v>2419</v>
      </c>
      <c r="P777" s="3" t="s">
        <v>3280</v>
      </c>
      <c r="Q777" s="3" t="s">
        <v>67</v>
      </c>
      <c r="R777" s="3"/>
      <c r="S777" s="3" t="str">
        <f>"May 18"</f>
        <v>May 18</v>
      </c>
    </row>
    <row r="778" spans="1:19" ht="26.25" x14ac:dyDescent="0.25">
      <c r="A778" s="1">
        <v>41048</v>
      </c>
      <c r="B778" s="1">
        <v>41048</v>
      </c>
      <c r="C778" s="2">
        <f t="shared" si="33"/>
        <v>1</v>
      </c>
      <c r="D778" s="6" t="s">
        <v>3281</v>
      </c>
      <c r="E778" s="3" t="s">
        <v>3282</v>
      </c>
      <c r="F778" s="4" t="s">
        <v>58</v>
      </c>
      <c r="G778" s="3" t="s">
        <v>3283</v>
      </c>
      <c r="H778" s="3" t="s">
        <v>3284</v>
      </c>
      <c r="I778" s="3" t="s">
        <v>3285</v>
      </c>
      <c r="J778" s="3" t="s">
        <v>61</v>
      </c>
      <c r="K778" s="3">
        <v>66202</v>
      </c>
      <c r="L778" s="3" t="s">
        <v>3286</v>
      </c>
      <c r="M778" s="3"/>
      <c r="N778" s="3" t="s">
        <v>3287</v>
      </c>
      <c r="O778" s="3" t="s">
        <v>3288</v>
      </c>
      <c r="P778" s="3" t="s">
        <v>3289</v>
      </c>
      <c r="Q778" s="3" t="s">
        <v>67</v>
      </c>
      <c r="R778" s="3"/>
      <c r="S778" s="3" t="str">
        <f>"May 19"</f>
        <v>May 19</v>
      </c>
    </row>
    <row r="779" spans="1:19" ht="39" x14ac:dyDescent="0.25">
      <c r="A779" s="1">
        <v>41048</v>
      </c>
      <c r="B779" s="1">
        <v>41048</v>
      </c>
      <c r="C779" s="2">
        <f t="shared" si="33"/>
        <v>1</v>
      </c>
      <c r="D779" s="6" t="s">
        <v>3290</v>
      </c>
      <c r="E779" s="3" t="s">
        <v>3291</v>
      </c>
      <c r="F779" s="4" t="s">
        <v>58</v>
      </c>
      <c r="G779" s="3" t="s">
        <v>3292</v>
      </c>
      <c r="H779" s="3" t="s">
        <v>3293</v>
      </c>
      <c r="I779" s="3" t="s">
        <v>71</v>
      </c>
      <c r="J779" s="3" t="s">
        <v>61</v>
      </c>
      <c r="K779" s="3">
        <v>67206</v>
      </c>
      <c r="L779" s="3" t="s">
        <v>2986</v>
      </c>
      <c r="M779" s="3"/>
      <c r="N779" s="3"/>
      <c r="O779" s="3"/>
      <c r="P779" s="3" t="s">
        <v>2801</v>
      </c>
      <c r="Q779" s="3" t="s">
        <v>67</v>
      </c>
      <c r="R779" s="3" t="s">
        <v>67</v>
      </c>
      <c r="S779" s="3" t="str">
        <f>"May 19"</f>
        <v>May 19</v>
      </c>
    </row>
    <row r="780" spans="1:19" ht="26.25" x14ac:dyDescent="0.25">
      <c r="A780" s="1">
        <v>41048</v>
      </c>
      <c r="B780" s="1">
        <v>41048</v>
      </c>
      <c r="C780" s="2">
        <f t="shared" si="33"/>
        <v>1</v>
      </c>
      <c r="D780" s="6" t="s">
        <v>3294</v>
      </c>
      <c r="E780" s="3" t="s">
        <v>3295</v>
      </c>
      <c r="F780" s="4" t="s">
        <v>58</v>
      </c>
      <c r="G780" s="3" t="s">
        <v>3296</v>
      </c>
      <c r="H780" s="3" t="s">
        <v>3297</v>
      </c>
      <c r="I780" s="3" t="s">
        <v>3298</v>
      </c>
      <c r="J780" s="3" t="s">
        <v>61</v>
      </c>
      <c r="K780" s="3">
        <v>67464</v>
      </c>
      <c r="L780" s="3" t="s">
        <v>3299</v>
      </c>
      <c r="M780" s="3"/>
      <c r="N780" s="3" t="s">
        <v>3300</v>
      </c>
      <c r="O780" s="3"/>
      <c r="P780" s="3" t="s">
        <v>3301</v>
      </c>
      <c r="Q780" s="3" t="s">
        <v>67</v>
      </c>
      <c r="R780" s="3"/>
      <c r="S780" s="3" t="str">
        <f>"May 19"</f>
        <v>May 19</v>
      </c>
    </row>
    <row r="781" spans="1:19" x14ac:dyDescent="0.25">
      <c r="A781" s="1">
        <v>41049</v>
      </c>
      <c r="B781" s="1">
        <v>41049</v>
      </c>
      <c r="C781" s="2">
        <f t="shared" si="33"/>
        <v>1</v>
      </c>
      <c r="D781" s="6" t="s">
        <v>3302</v>
      </c>
      <c r="E781" s="3" t="s">
        <v>3302</v>
      </c>
      <c r="F781" s="4" t="s">
        <v>58</v>
      </c>
      <c r="G781" s="3" t="s">
        <v>1327</v>
      </c>
      <c r="H781" s="3"/>
      <c r="I781" s="3" t="s">
        <v>60</v>
      </c>
      <c r="J781" s="3" t="s">
        <v>61</v>
      </c>
      <c r="K781" s="3">
        <v>66603</v>
      </c>
      <c r="L781" s="3" t="s">
        <v>1328</v>
      </c>
      <c r="M781" s="3"/>
      <c r="N781" s="3"/>
      <c r="O781" s="3"/>
      <c r="P781" s="3" t="s">
        <v>1329</v>
      </c>
      <c r="Q781" s="3" t="s">
        <v>67</v>
      </c>
      <c r="R781" s="3" t="s">
        <v>67</v>
      </c>
      <c r="S781" s="3" t="str">
        <f>"May 20"</f>
        <v>May 20</v>
      </c>
    </row>
    <row r="782" spans="1:19" x14ac:dyDescent="0.25">
      <c r="A782" s="1">
        <v>41055</v>
      </c>
      <c r="B782" s="1">
        <v>41055</v>
      </c>
      <c r="C782" s="2">
        <f t="shared" si="33"/>
        <v>1</v>
      </c>
      <c r="D782" s="6" t="s">
        <v>3315</v>
      </c>
      <c r="E782" s="3" t="s">
        <v>3315</v>
      </c>
      <c r="F782" s="4" t="s">
        <v>58</v>
      </c>
      <c r="G782" s="3" t="s">
        <v>1459</v>
      </c>
      <c r="H782" s="3"/>
      <c r="I782" s="3" t="s">
        <v>60</v>
      </c>
      <c r="J782" s="3" t="s">
        <v>61</v>
      </c>
      <c r="K782" s="3">
        <v>66608</v>
      </c>
      <c r="L782" s="3" t="s">
        <v>3316</v>
      </c>
      <c r="M782" s="3"/>
      <c r="N782" s="3"/>
      <c r="O782" s="3"/>
      <c r="P782" s="3" t="s">
        <v>2524</v>
      </c>
      <c r="Q782" s="3" t="s">
        <v>67</v>
      </c>
      <c r="R782" s="3" t="s">
        <v>67</v>
      </c>
      <c r="S782" s="3" t="str">
        <f>"May 26"</f>
        <v>May 26</v>
      </c>
    </row>
    <row r="783" spans="1:19" ht="26.25" x14ac:dyDescent="0.25">
      <c r="A783" s="1">
        <v>41055</v>
      </c>
      <c r="B783" s="1">
        <v>41055</v>
      </c>
      <c r="C783" s="2">
        <f t="shared" si="33"/>
        <v>1</v>
      </c>
      <c r="D783" s="6" t="s">
        <v>3317</v>
      </c>
      <c r="E783" s="3" t="s">
        <v>3318</v>
      </c>
      <c r="F783" s="4" t="s">
        <v>58</v>
      </c>
      <c r="G783" s="3" t="s">
        <v>3319</v>
      </c>
      <c r="H783" s="3" t="s">
        <v>3320</v>
      </c>
      <c r="I783" s="3" t="s">
        <v>210</v>
      </c>
      <c r="J783" s="3" t="s">
        <v>61</v>
      </c>
      <c r="K783" s="3">
        <v>66002</v>
      </c>
      <c r="L783" s="3" t="s">
        <v>272</v>
      </c>
      <c r="M783" s="3" t="s">
        <v>273</v>
      </c>
      <c r="N783" s="3"/>
      <c r="O783" s="3" t="s">
        <v>3321</v>
      </c>
      <c r="P783" s="3" t="s">
        <v>276</v>
      </c>
      <c r="Q783" s="3" t="s">
        <v>67</v>
      </c>
      <c r="R783" s="3" t="s">
        <v>67</v>
      </c>
      <c r="S783" s="3" t="str">
        <f>"May 26"</f>
        <v>May 26</v>
      </c>
    </row>
    <row r="784" spans="1:19" ht="39" x14ac:dyDescent="0.25">
      <c r="A784" s="1">
        <v>41061</v>
      </c>
      <c r="B784" s="1">
        <v>41061</v>
      </c>
      <c r="C784" s="2">
        <f t="shared" si="33"/>
        <v>1</v>
      </c>
      <c r="D784" s="6" t="s">
        <v>3340</v>
      </c>
      <c r="E784" s="3" t="s">
        <v>3341</v>
      </c>
      <c r="F784" s="4" t="s">
        <v>58</v>
      </c>
      <c r="G784" s="3" t="s">
        <v>3342</v>
      </c>
      <c r="H784" s="3"/>
      <c r="I784" s="3" t="s">
        <v>179</v>
      </c>
      <c r="J784" s="3" t="s">
        <v>61</v>
      </c>
      <c r="K784" s="3">
        <v>66508</v>
      </c>
      <c r="L784" s="3" t="s">
        <v>1079</v>
      </c>
      <c r="M784" s="3" t="s">
        <v>1538</v>
      </c>
      <c r="N784" s="3" t="s">
        <v>1079</v>
      </c>
      <c r="O784" s="3" t="s">
        <v>1080</v>
      </c>
      <c r="P784" s="3" t="s">
        <v>1539</v>
      </c>
      <c r="Q784" s="3"/>
      <c r="R784" s="3" t="s">
        <v>67</v>
      </c>
      <c r="S784" s="3" t="str">
        <f>"Jun 1"</f>
        <v>Jun 1</v>
      </c>
    </row>
    <row r="785" spans="1:19" x14ac:dyDescent="0.25">
      <c r="A785" s="1">
        <v>41062</v>
      </c>
      <c r="B785" s="1">
        <v>41062</v>
      </c>
      <c r="C785" s="2">
        <f t="shared" si="33"/>
        <v>1</v>
      </c>
      <c r="D785" s="6" t="s">
        <v>3354</v>
      </c>
      <c r="E785" s="3" t="s">
        <v>3354</v>
      </c>
      <c r="F785" s="4" t="s">
        <v>58</v>
      </c>
      <c r="G785" s="3" t="s">
        <v>3355</v>
      </c>
      <c r="H785" s="3" t="s">
        <v>969</v>
      </c>
      <c r="I785" s="3" t="s">
        <v>60</v>
      </c>
      <c r="J785" s="3" t="s">
        <v>61</v>
      </c>
      <c r="K785" s="3">
        <v>66610</v>
      </c>
      <c r="L785" s="3" t="s">
        <v>970</v>
      </c>
      <c r="M785" s="3"/>
      <c r="N785" s="3"/>
      <c r="O785" s="3"/>
      <c r="P785" s="3" t="s">
        <v>3356</v>
      </c>
      <c r="Q785" s="3" t="s">
        <v>67</v>
      </c>
      <c r="R785" s="3" t="s">
        <v>67</v>
      </c>
      <c r="S785" s="3" t="str">
        <f>"Jun 2"</f>
        <v>Jun 2</v>
      </c>
    </row>
    <row r="786" spans="1:19" ht="39" x14ac:dyDescent="0.25">
      <c r="A786" s="1">
        <v>41062</v>
      </c>
      <c r="B786" s="1">
        <v>41062</v>
      </c>
      <c r="C786" s="2">
        <f t="shared" si="33"/>
        <v>1</v>
      </c>
      <c r="D786" s="6" t="s">
        <v>3357</v>
      </c>
      <c r="E786" s="3" t="s">
        <v>3358</v>
      </c>
      <c r="F786" s="4" t="s">
        <v>58</v>
      </c>
      <c r="G786" s="3" t="s">
        <v>3359</v>
      </c>
      <c r="H786" s="3"/>
      <c r="I786" s="3" t="s">
        <v>3360</v>
      </c>
      <c r="J786" s="3" t="s">
        <v>61</v>
      </c>
      <c r="K786" s="3">
        <v>67544</v>
      </c>
      <c r="L786" s="3" t="s">
        <v>3361</v>
      </c>
      <c r="M786" s="3"/>
      <c r="N786" s="3" t="s">
        <v>3361</v>
      </c>
      <c r="O786" s="3" t="s">
        <v>3362</v>
      </c>
      <c r="P786" s="3" t="s">
        <v>3363</v>
      </c>
      <c r="Q786" s="3"/>
      <c r="R786" s="3" t="s">
        <v>67</v>
      </c>
      <c r="S786" s="3" t="str">
        <f>"Jun 2"</f>
        <v>Jun 2</v>
      </c>
    </row>
    <row r="787" spans="1:19" ht="39" x14ac:dyDescent="0.25">
      <c r="A787" s="1">
        <v>41062</v>
      </c>
      <c r="B787" s="1">
        <v>41062</v>
      </c>
      <c r="C787" s="2">
        <f t="shared" si="33"/>
        <v>1</v>
      </c>
      <c r="D787" s="6" t="s">
        <v>3364</v>
      </c>
      <c r="E787" s="3" t="s">
        <v>3365</v>
      </c>
      <c r="F787" s="4" t="s">
        <v>58</v>
      </c>
      <c r="G787" s="3" t="s">
        <v>529</v>
      </c>
      <c r="H787" s="3" t="s">
        <v>3366</v>
      </c>
      <c r="I787" s="3" t="s">
        <v>1866</v>
      </c>
      <c r="J787" s="3" t="s">
        <v>61</v>
      </c>
      <c r="K787" s="3">
        <v>67104</v>
      </c>
      <c r="L787" s="3" t="s">
        <v>1930</v>
      </c>
      <c r="M787" s="3"/>
      <c r="N787" s="3"/>
      <c r="O787" s="3"/>
      <c r="P787" s="3"/>
      <c r="Q787" s="3"/>
      <c r="R787" s="3"/>
      <c r="S787" s="3" t="str">
        <f>"Jun 2"</f>
        <v>Jun 2</v>
      </c>
    </row>
    <row r="788" spans="1:19" x14ac:dyDescent="0.25">
      <c r="A788" s="1">
        <v>41062</v>
      </c>
      <c r="B788" s="1">
        <v>41062</v>
      </c>
      <c r="C788" s="2">
        <f t="shared" si="33"/>
        <v>1</v>
      </c>
      <c r="D788" s="6" t="s">
        <v>1292</v>
      </c>
      <c r="E788" s="3" t="s">
        <v>1292</v>
      </c>
      <c r="F788" s="4" t="s">
        <v>58</v>
      </c>
      <c r="G788" s="3" t="s">
        <v>297</v>
      </c>
      <c r="H788" s="3"/>
      <c r="I788" s="3" t="s">
        <v>60</v>
      </c>
      <c r="J788" s="3" t="s">
        <v>61</v>
      </c>
      <c r="K788" s="3">
        <v>66606</v>
      </c>
      <c r="L788" s="3" t="s">
        <v>298</v>
      </c>
      <c r="M788" s="3"/>
      <c r="N788" s="3"/>
      <c r="O788" s="3"/>
      <c r="P788" s="3" t="s">
        <v>299</v>
      </c>
      <c r="Q788" s="3" t="s">
        <v>67</v>
      </c>
      <c r="R788" s="3" t="s">
        <v>67</v>
      </c>
      <c r="S788" s="3" t="str">
        <f>"Jun 2"</f>
        <v>Jun 2</v>
      </c>
    </row>
    <row r="789" spans="1:19" ht="39" x14ac:dyDescent="0.25">
      <c r="A789" s="1">
        <v>41062</v>
      </c>
      <c r="B789" s="1">
        <v>41062</v>
      </c>
      <c r="C789" s="2">
        <f t="shared" si="33"/>
        <v>1</v>
      </c>
      <c r="D789" s="6" t="s">
        <v>3367</v>
      </c>
      <c r="E789" s="3" t="s">
        <v>3368</v>
      </c>
      <c r="F789" s="4" t="s">
        <v>58</v>
      </c>
      <c r="G789" s="3" t="s">
        <v>3369</v>
      </c>
      <c r="H789" s="3" t="s">
        <v>3370</v>
      </c>
      <c r="I789" s="3" t="s">
        <v>3371</v>
      </c>
      <c r="J789" s="3" t="s">
        <v>61</v>
      </c>
      <c r="K789" s="3">
        <v>66782</v>
      </c>
      <c r="L789" s="3" t="s">
        <v>3372</v>
      </c>
      <c r="M789" s="3"/>
      <c r="N789" s="3" t="s">
        <v>3373</v>
      </c>
      <c r="O789" s="3" t="s">
        <v>3374</v>
      </c>
      <c r="P789" s="3" t="s">
        <v>3375</v>
      </c>
      <c r="Q789" s="3" t="s">
        <v>67</v>
      </c>
      <c r="R789" s="3"/>
      <c r="S789" s="3" t="str">
        <f>"Jun 2"</f>
        <v>Jun 2</v>
      </c>
    </row>
    <row r="790" spans="1:19" ht="26.25" x14ac:dyDescent="0.25">
      <c r="A790" s="1">
        <v>41063</v>
      </c>
      <c r="B790" s="1">
        <v>41063</v>
      </c>
      <c r="C790" s="2">
        <f t="shared" si="33"/>
        <v>1</v>
      </c>
      <c r="D790" s="6" t="s">
        <v>3376</v>
      </c>
      <c r="E790" s="3" t="s">
        <v>3377</v>
      </c>
      <c r="F790" s="4" t="s">
        <v>58</v>
      </c>
      <c r="G790" s="3" t="s">
        <v>3274</v>
      </c>
      <c r="H790" s="3"/>
      <c r="I790" s="3" t="s">
        <v>179</v>
      </c>
      <c r="J790" s="3" t="s">
        <v>61</v>
      </c>
      <c r="K790" s="3">
        <v>66508</v>
      </c>
      <c r="L790" s="3" t="s">
        <v>3378</v>
      </c>
      <c r="M790" s="3"/>
      <c r="N790" s="3"/>
      <c r="O790" s="3"/>
      <c r="P790" s="3"/>
      <c r="Q790" s="3"/>
      <c r="R790" s="3"/>
      <c r="S790" s="3" t="str">
        <f>"Jun 3"</f>
        <v>Jun 3</v>
      </c>
    </row>
    <row r="791" spans="1:19" ht="39" x14ac:dyDescent="0.25">
      <c r="A791" s="1">
        <v>41068</v>
      </c>
      <c r="B791" s="1">
        <v>41068</v>
      </c>
      <c r="C791" s="2">
        <f t="shared" si="33"/>
        <v>1</v>
      </c>
      <c r="D791" s="6" t="s">
        <v>3395</v>
      </c>
      <c r="E791" s="3" t="s">
        <v>3396</v>
      </c>
      <c r="F791" s="4" t="s">
        <v>58</v>
      </c>
      <c r="G791" s="3" t="s">
        <v>2103</v>
      </c>
      <c r="H791" s="3"/>
      <c r="I791" s="3" t="s">
        <v>133</v>
      </c>
      <c r="J791" s="3" t="s">
        <v>61</v>
      </c>
      <c r="K791" s="3">
        <v>66845</v>
      </c>
      <c r="L791" s="3" t="s">
        <v>2105</v>
      </c>
      <c r="M791" s="3"/>
      <c r="N791" s="3"/>
      <c r="O791" s="3" t="s">
        <v>2107</v>
      </c>
      <c r="P791" s="3" t="s">
        <v>2108</v>
      </c>
      <c r="Q791" s="3"/>
      <c r="R791" s="3" t="s">
        <v>67</v>
      </c>
      <c r="S791" s="3" t="str">
        <f>"Jun 8"</f>
        <v>Jun 8</v>
      </c>
    </row>
    <row r="792" spans="1:19" x14ac:dyDescent="0.25">
      <c r="A792" s="1">
        <v>41068</v>
      </c>
      <c r="B792" s="1">
        <v>41068</v>
      </c>
      <c r="C792" s="2">
        <f t="shared" si="33"/>
        <v>1</v>
      </c>
      <c r="D792" s="6" t="s">
        <v>1564</v>
      </c>
      <c r="E792" s="3" t="s">
        <v>1564</v>
      </c>
      <c r="F792" s="4" t="s">
        <v>58</v>
      </c>
      <c r="G792" s="3" t="s">
        <v>297</v>
      </c>
      <c r="H792" s="3"/>
      <c r="I792" s="3" t="s">
        <v>60</v>
      </c>
      <c r="J792" s="3" t="s">
        <v>61</v>
      </c>
      <c r="K792" s="3">
        <v>66606</v>
      </c>
      <c r="L792" s="3" t="s">
        <v>298</v>
      </c>
      <c r="M792" s="3"/>
      <c r="N792" s="3"/>
      <c r="O792" s="3"/>
      <c r="P792" s="3" t="s">
        <v>299</v>
      </c>
      <c r="Q792" s="3" t="s">
        <v>67</v>
      </c>
      <c r="R792" s="3" t="s">
        <v>67</v>
      </c>
      <c r="S792" s="3" t="str">
        <f>"Jun 8"</f>
        <v>Jun 8</v>
      </c>
    </row>
    <row r="793" spans="1:19" ht="26.25" x14ac:dyDescent="0.25">
      <c r="A793" s="1">
        <v>41069</v>
      </c>
      <c r="B793" s="1">
        <v>41069</v>
      </c>
      <c r="C793" s="2">
        <f t="shared" si="33"/>
        <v>1</v>
      </c>
      <c r="D793" s="6" t="s">
        <v>3412</v>
      </c>
      <c r="E793" s="3" t="s">
        <v>3413</v>
      </c>
      <c r="F793" s="4" t="s">
        <v>58</v>
      </c>
      <c r="G793" s="3" t="s">
        <v>3414</v>
      </c>
      <c r="H793" s="3"/>
      <c r="I793" s="3" t="s">
        <v>77</v>
      </c>
      <c r="J793" s="3" t="s">
        <v>61</v>
      </c>
      <c r="K793" s="3">
        <v>66067</v>
      </c>
      <c r="L793" s="3" t="s">
        <v>3415</v>
      </c>
      <c r="M793" s="3"/>
      <c r="N793" s="3"/>
      <c r="O793" s="3"/>
      <c r="P793" s="3"/>
      <c r="Q793" s="3" t="s">
        <v>67</v>
      </c>
      <c r="R793" s="3" t="s">
        <v>67</v>
      </c>
      <c r="S793" s="3" t="str">
        <f>"Jun 9"</f>
        <v>Jun 9</v>
      </c>
    </row>
    <row r="794" spans="1:19" ht="26.25" x14ac:dyDescent="0.25">
      <c r="A794" s="1">
        <v>41069</v>
      </c>
      <c r="B794" s="1">
        <v>41069</v>
      </c>
      <c r="C794" s="2">
        <f t="shared" si="33"/>
        <v>1</v>
      </c>
      <c r="D794" s="6" t="s">
        <v>3416</v>
      </c>
      <c r="E794" s="3" t="s">
        <v>3417</v>
      </c>
      <c r="F794" s="4" t="s">
        <v>58</v>
      </c>
      <c r="G794" s="3" t="s">
        <v>3418</v>
      </c>
      <c r="H794" s="3"/>
      <c r="I794" s="3" t="s">
        <v>77</v>
      </c>
      <c r="J794" s="3" t="s">
        <v>61</v>
      </c>
      <c r="K794" s="3">
        <v>66067</v>
      </c>
      <c r="L794" s="3" t="s">
        <v>3419</v>
      </c>
      <c r="M794" s="3"/>
      <c r="N794" s="3"/>
      <c r="O794" s="3" t="s">
        <v>3420</v>
      </c>
      <c r="P794" s="3"/>
      <c r="Q794" s="3" t="s">
        <v>67</v>
      </c>
      <c r="R794" s="3" t="s">
        <v>67</v>
      </c>
      <c r="S794" s="3" t="str">
        <f>"Jun 9"</f>
        <v>Jun 9</v>
      </c>
    </row>
    <row r="795" spans="1:19" ht="39" x14ac:dyDescent="0.25">
      <c r="A795" s="1">
        <v>41069</v>
      </c>
      <c r="B795" s="1">
        <v>41069</v>
      </c>
      <c r="C795" s="2">
        <f t="shared" si="33"/>
        <v>1</v>
      </c>
      <c r="D795" s="6" t="s">
        <v>21</v>
      </c>
      <c r="E795" s="3" t="s">
        <v>3421</v>
      </c>
      <c r="F795" s="4" t="s">
        <v>58</v>
      </c>
      <c r="G795" s="3" t="s">
        <v>3422</v>
      </c>
      <c r="H795" s="3"/>
      <c r="I795" s="3" t="s">
        <v>3336</v>
      </c>
      <c r="J795" s="3" t="s">
        <v>61</v>
      </c>
      <c r="K795" s="3">
        <v>66869</v>
      </c>
      <c r="L795" s="3" t="s">
        <v>3423</v>
      </c>
      <c r="M795" s="3"/>
      <c r="N795" s="3"/>
      <c r="O795" s="3" t="s">
        <v>3424</v>
      </c>
      <c r="P795" s="3" t="s">
        <v>3425</v>
      </c>
      <c r="Q795" s="3" t="s">
        <v>67</v>
      </c>
      <c r="R795" s="3" t="s">
        <v>67</v>
      </c>
      <c r="S795" s="3" t="str">
        <f>"Jun 9"</f>
        <v>Jun 9</v>
      </c>
    </row>
    <row r="796" spans="1:19" x14ac:dyDescent="0.25">
      <c r="A796" s="1">
        <v>41069</v>
      </c>
      <c r="B796" s="1">
        <v>41069</v>
      </c>
      <c r="C796" s="2">
        <f t="shared" si="33"/>
        <v>1</v>
      </c>
      <c r="D796" s="6" t="s">
        <v>1636</v>
      </c>
      <c r="E796" s="3" t="s">
        <v>1636</v>
      </c>
      <c r="F796" s="4" t="s">
        <v>58</v>
      </c>
      <c r="G796" s="3" t="s">
        <v>297</v>
      </c>
      <c r="H796" s="3"/>
      <c r="I796" s="3" t="s">
        <v>60</v>
      </c>
      <c r="J796" s="3" t="s">
        <v>61</v>
      </c>
      <c r="K796" s="3">
        <v>66606</v>
      </c>
      <c r="L796" s="3" t="s">
        <v>298</v>
      </c>
      <c r="M796" s="3"/>
      <c r="N796" s="3"/>
      <c r="O796" s="3"/>
      <c r="P796" s="3" t="s">
        <v>299</v>
      </c>
      <c r="Q796" s="3" t="s">
        <v>67</v>
      </c>
      <c r="R796" s="3" t="s">
        <v>67</v>
      </c>
      <c r="S796" s="3" t="str">
        <f>"Jun 9"</f>
        <v>Jun 9</v>
      </c>
    </row>
    <row r="797" spans="1:19" ht="39" x14ac:dyDescent="0.25">
      <c r="A797" s="1">
        <v>41069</v>
      </c>
      <c r="B797" s="1">
        <v>41069</v>
      </c>
      <c r="C797" s="2">
        <f t="shared" si="33"/>
        <v>1</v>
      </c>
      <c r="D797" s="6" t="s">
        <v>3426</v>
      </c>
      <c r="E797" s="3" t="s">
        <v>3427</v>
      </c>
      <c r="F797" s="4" t="s">
        <v>58</v>
      </c>
      <c r="G797" s="3" t="s">
        <v>2210</v>
      </c>
      <c r="H797" s="3" t="s">
        <v>3428</v>
      </c>
      <c r="I797" s="3" t="s">
        <v>2951</v>
      </c>
      <c r="J797" s="3" t="s">
        <v>61</v>
      </c>
      <c r="K797" s="3">
        <v>66086</v>
      </c>
      <c r="L797" s="3" t="s">
        <v>3429</v>
      </c>
      <c r="M797" s="3"/>
      <c r="N797" s="3"/>
      <c r="O797" s="3" t="s">
        <v>3430</v>
      </c>
      <c r="P797" s="3" t="s">
        <v>3431</v>
      </c>
      <c r="Q797" s="3" t="s">
        <v>67</v>
      </c>
      <c r="R797" s="3"/>
      <c r="S797" s="3" t="str">
        <f>"Jun 9"</f>
        <v>Jun 9</v>
      </c>
    </row>
    <row r="798" spans="1:19" ht="26.25" x14ac:dyDescent="0.25">
      <c r="A798" s="1">
        <v>41071</v>
      </c>
      <c r="B798" s="1">
        <v>41071</v>
      </c>
      <c r="C798" s="2">
        <f t="shared" si="33"/>
        <v>1</v>
      </c>
      <c r="D798" s="6" t="s">
        <v>3438</v>
      </c>
      <c r="E798" s="3" t="s">
        <v>3439</v>
      </c>
      <c r="F798" s="4" t="s">
        <v>58</v>
      </c>
      <c r="G798" s="3" t="s">
        <v>3440</v>
      </c>
      <c r="H798" s="3"/>
      <c r="I798" s="3" t="s">
        <v>865</v>
      </c>
      <c r="J798" s="3" t="s">
        <v>61</v>
      </c>
      <c r="K798" s="3">
        <v>67601</v>
      </c>
      <c r="L798" s="3" t="s">
        <v>1669</v>
      </c>
      <c r="M798" s="3"/>
      <c r="N798" s="3"/>
      <c r="O798" s="3" t="s">
        <v>1671</v>
      </c>
      <c r="P798" s="3" t="s">
        <v>1672</v>
      </c>
      <c r="Q798" s="3"/>
      <c r="R798" s="3" t="s">
        <v>67</v>
      </c>
      <c r="S798" s="3" t="str">
        <f>"Jun 11"</f>
        <v>Jun 11</v>
      </c>
    </row>
    <row r="799" spans="1:19" ht="39" x14ac:dyDescent="0.25">
      <c r="A799" s="1">
        <v>41072</v>
      </c>
      <c r="B799" s="1">
        <v>41072</v>
      </c>
      <c r="C799" s="2">
        <f t="shared" si="33"/>
        <v>1</v>
      </c>
      <c r="D799" s="6" t="s">
        <v>3441</v>
      </c>
      <c r="E799" s="3" t="s">
        <v>3442</v>
      </c>
      <c r="F799" s="4" t="s">
        <v>58</v>
      </c>
      <c r="G799" s="3" t="s">
        <v>3443</v>
      </c>
      <c r="H799" s="3" t="s">
        <v>3444</v>
      </c>
      <c r="I799" s="3" t="s">
        <v>159</v>
      </c>
      <c r="J799" s="3" t="s">
        <v>61</v>
      </c>
      <c r="K799" s="3">
        <v>67301</v>
      </c>
      <c r="L799" s="3" t="s">
        <v>3445</v>
      </c>
      <c r="M799" s="3"/>
      <c r="N799" s="3" t="s">
        <v>3445</v>
      </c>
      <c r="O799" s="3" t="s">
        <v>3446</v>
      </c>
      <c r="P799" s="3" t="s">
        <v>3447</v>
      </c>
      <c r="Q799" s="3" t="s">
        <v>67</v>
      </c>
      <c r="R799" s="3" t="s">
        <v>67</v>
      </c>
      <c r="S799" s="3" t="str">
        <f>"Jun 12"</f>
        <v>Jun 12</v>
      </c>
    </row>
    <row r="800" spans="1:19" x14ac:dyDescent="0.25">
      <c r="A800" s="1">
        <v>41075</v>
      </c>
      <c r="B800" s="1">
        <v>41075</v>
      </c>
      <c r="C800" s="2">
        <f t="shared" si="33"/>
        <v>1</v>
      </c>
      <c r="D800" s="6" t="s">
        <v>3448</v>
      </c>
      <c r="E800" s="3" t="s">
        <v>3448</v>
      </c>
      <c r="F800" s="4" t="s">
        <v>58</v>
      </c>
      <c r="G800" s="3" t="s">
        <v>1327</v>
      </c>
      <c r="H800" s="3"/>
      <c r="I800" s="3" t="s">
        <v>60</v>
      </c>
      <c r="J800" s="3" t="s">
        <v>61</v>
      </c>
      <c r="K800" s="3">
        <v>66603</v>
      </c>
      <c r="L800" s="3" t="s">
        <v>1328</v>
      </c>
      <c r="M800" s="3"/>
      <c r="N800" s="3"/>
      <c r="O800" s="3"/>
      <c r="P800" s="3" t="s">
        <v>1329</v>
      </c>
      <c r="Q800" s="3" t="s">
        <v>67</v>
      </c>
      <c r="R800" s="3"/>
      <c r="S800" s="3" t="str">
        <f>"Jun 15"</f>
        <v>Jun 15</v>
      </c>
    </row>
    <row r="801" spans="1:19" ht="26.25" x14ac:dyDescent="0.25">
      <c r="A801" s="1">
        <v>41076</v>
      </c>
      <c r="B801" s="1">
        <v>41076</v>
      </c>
      <c r="C801" s="2">
        <f t="shared" si="33"/>
        <v>1</v>
      </c>
      <c r="D801" s="6" t="s">
        <v>3462</v>
      </c>
      <c r="E801" s="3" t="s">
        <v>3463</v>
      </c>
      <c r="F801" s="4" t="s">
        <v>58</v>
      </c>
      <c r="G801" s="3" t="s">
        <v>3464</v>
      </c>
      <c r="H801" s="3"/>
      <c r="I801" s="3" t="s">
        <v>3350</v>
      </c>
      <c r="J801" s="3" t="s">
        <v>61</v>
      </c>
      <c r="K801" s="3">
        <v>66861</v>
      </c>
      <c r="L801" s="3" t="s">
        <v>3465</v>
      </c>
      <c r="M801" s="3"/>
      <c r="N801" s="3"/>
      <c r="O801" s="3"/>
      <c r="P801" s="3" t="s">
        <v>3466</v>
      </c>
      <c r="Q801" s="3" t="s">
        <v>67</v>
      </c>
      <c r="R801" s="3" t="s">
        <v>67</v>
      </c>
      <c r="S801" s="3" t="str">
        <f>"Jun 16"</f>
        <v>Jun 16</v>
      </c>
    </row>
    <row r="802" spans="1:19" x14ac:dyDescent="0.25">
      <c r="A802" s="1">
        <v>41076</v>
      </c>
      <c r="B802" s="1">
        <v>41076</v>
      </c>
      <c r="C802" s="2">
        <f t="shared" si="33"/>
        <v>1</v>
      </c>
      <c r="D802" s="6" t="s">
        <v>3467</v>
      </c>
      <c r="E802" s="3" t="s">
        <v>3467</v>
      </c>
      <c r="F802" s="4" t="s">
        <v>58</v>
      </c>
      <c r="G802" s="3" t="s">
        <v>1459</v>
      </c>
      <c r="H802" s="3"/>
      <c r="I802" s="3" t="s">
        <v>60</v>
      </c>
      <c r="J802" s="3" t="s">
        <v>61</v>
      </c>
      <c r="K802" s="3">
        <v>66608</v>
      </c>
      <c r="L802" s="3" t="s">
        <v>3316</v>
      </c>
      <c r="M802" s="3"/>
      <c r="N802" s="3"/>
      <c r="O802" s="3"/>
      <c r="P802" s="3" t="s">
        <v>2524</v>
      </c>
      <c r="Q802" s="3" t="s">
        <v>67</v>
      </c>
      <c r="R802" s="3" t="s">
        <v>67</v>
      </c>
      <c r="S802" s="3" t="str">
        <f>"Jun 16"</f>
        <v>Jun 16</v>
      </c>
    </row>
    <row r="803" spans="1:19" ht="26.25" x14ac:dyDescent="0.25">
      <c r="A803" s="1">
        <v>41081</v>
      </c>
      <c r="B803" s="1">
        <v>41081</v>
      </c>
      <c r="C803" s="2">
        <f t="shared" si="33"/>
        <v>1</v>
      </c>
      <c r="D803" s="6" t="s">
        <v>3483</v>
      </c>
      <c r="E803" s="3" t="s">
        <v>3484</v>
      </c>
      <c r="F803" s="4" t="s">
        <v>58</v>
      </c>
      <c r="G803" s="3" t="s">
        <v>2480</v>
      </c>
      <c r="H803" s="3"/>
      <c r="I803" s="3" t="s">
        <v>85</v>
      </c>
      <c r="J803" s="3" t="s">
        <v>61</v>
      </c>
      <c r="K803" s="3">
        <v>67501</v>
      </c>
      <c r="L803" s="3" t="s">
        <v>99</v>
      </c>
      <c r="M803" s="3"/>
      <c r="N803" s="3"/>
      <c r="O803" s="3"/>
      <c r="P803" s="3"/>
      <c r="Q803" s="3" t="s">
        <v>67</v>
      </c>
      <c r="R803" s="3"/>
      <c r="S803" s="3" t="str">
        <f>"Jun 21"</f>
        <v>Jun 21</v>
      </c>
    </row>
    <row r="804" spans="1:19" ht="26.25" x14ac:dyDescent="0.25">
      <c r="A804" s="1">
        <v>41083</v>
      </c>
      <c r="B804" s="1">
        <v>41083</v>
      </c>
      <c r="C804" s="2">
        <f t="shared" si="33"/>
        <v>1</v>
      </c>
      <c r="D804" s="6" t="s">
        <v>3504</v>
      </c>
      <c r="E804" s="3" t="s">
        <v>3505</v>
      </c>
      <c r="F804" s="4" t="s">
        <v>58</v>
      </c>
      <c r="G804" s="3" t="s">
        <v>3506</v>
      </c>
      <c r="H804" s="3" t="s">
        <v>3507</v>
      </c>
      <c r="I804" s="3" t="s">
        <v>3508</v>
      </c>
      <c r="J804" s="3" t="s">
        <v>61</v>
      </c>
      <c r="K804" s="3">
        <v>67439</v>
      </c>
      <c r="L804" s="3" t="s">
        <v>3509</v>
      </c>
      <c r="M804" s="3"/>
      <c r="N804" s="3"/>
      <c r="O804" s="3" t="s">
        <v>3510</v>
      </c>
      <c r="P804" s="3" t="s">
        <v>3511</v>
      </c>
      <c r="Q804" s="3" t="s">
        <v>67</v>
      </c>
      <c r="R804" s="3"/>
      <c r="S804" s="3" t="str">
        <f>"Jun 23"</f>
        <v>Jun 23</v>
      </c>
    </row>
    <row r="805" spans="1:19" ht="26.25" x14ac:dyDescent="0.25">
      <c r="A805" s="1">
        <v>41084</v>
      </c>
      <c r="B805" s="1">
        <v>41084</v>
      </c>
      <c r="C805" s="2">
        <f t="shared" si="33"/>
        <v>1</v>
      </c>
      <c r="D805" s="6" t="s">
        <v>3512</v>
      </c>
      <c r="E805" s="3" t="s">
        <v>3513</v>
      </c>
      <c r="F805" s="4" t="s">
        <v>58</v>
      </c>
      <c r="G805" s="3" t="s">
        <v>3514</v>
      </c>
      <c r="H805" s="3"/>
      <c r="I805" s="3" t="s">
        <v>210</v>
      </c>
      <c r="J805" s="3" t="s">
        <v>61</v>
      </c>
      <c r="K805" s="3">
        <v>66002</v>
      </c>
      <c r="L805" s="3" t="s">
        <v>3515</v>
      </c>
      <c r="M805" s="3"/>
      <c r="N805" s="3"/>
      <c r="O805" s="3" t="s">
        <v>3516</v>
      </c>
      <c r="P805" s="3" t="s">
        <v>3517</v>
      </c>
      <c r="Q805" s="3" t="s">
        <v>67</v>
      </c>
      <c r="R805" s="3" t="s">
        <v>67</v>
      </c>
      <c r="S805" s="3" t="str">
        <f>"Jun 24"</f>
        <v>Jun 24</v>
      </c>
    </row>
    <row r="806" spans="1:19" ht="39" x14ac:dyDescent="0.25">
      <c r="A806" s="1">
        <v>41089</v>
      </c>
      <c r="B806" s="1">
        <v>41089</v>
      </c>
      <c r="C806" s="2">
        <f t="shared" si="33"/>
        <v>1</v>
      </c>
      <c r="D806" s="6" t="s">
        <v>3523</v>
      </c>
      <c r="E806" s="3" t="s">
        <v>3524</v>
      </c>
      <c r="F806" s="4" t="s">
        <v>58</v>
      </c>
      <c r="G806" s="3" t="s">
        <v>787</v>
      </c>
      <c r="H806" s="3"/>
      <c r="I806" s="3" t="s">
        <v>789</v>
      </c>
      <c r="J806" s="3" t="s">
        <v>61</v>
      </c>
      <c r="K806" s="3">
        <v>67834</v>
      </c>
      <c r="L806" s="3" t="s">
        <v>790</v>
      </c>
      <c r="M806" s="3"/>
      <c r="N806" s="3"/>
      <c r="O806" s="3" t="s">
        <v>791</v>
      </c>
      <c r="P806" s="3" t="s">
        <v>792</v>
      </c>
      <c r="Q806" s="3"/>
      <c r="R806" s="3" t="s">
        <v>67</v>
      </c>
      <c r="S806" s="3" t="str">
        <f>"Jun 29"</f>
        <v>Jun 29</v>
      </c>
    </row>
    <row r="807" spans="1:19" ht="26.25" x14ac:dyDescent="0.25">
      <c r="A807" s="1">
        <v>41090</v>
      </c>
      <c r="B807" s="1">
        <v>41090</v>
      </c>
      <c r="C807" s="2">
        <f t="shared" si="33"/>
        <v>1</v>
      </c>
      <c r="D807" s="6" t="s">
        <v>3530</v>
      </c>
      <c r="E807" s="3" t="s">
        <v>3531</v>
      </c>
      <c r="F807" s="4" t="s">
        <v>58</v>
      </c>
      <c r="G807" s="3" t="s">
        <v>3532</v>
      </c>
      <c r="H807" s="3" t="s">
        <v>3533</v>
      </c>
      <c r="I807" s="3" t="s">
        <v>2594</v>
      </c>
      <c r="J807" s="3" t="s">
        <v>61</v>
      </c>
      <c r="K807" s="3">
        <v>66401</v>
      </c>
      <c r="L807" s="3" t="s">
        <v>1607</v>
      </c>
      <c r="M807" s="3"/>
      <c r="N807" s="3"/>
      <c r="O807" s="3" t="s">
        <v>1901</v>
      </c>
      <c r="P807" s="3" t="s">
        <v>1902</v>
      </c>
      <c r="Q807" s="3" t="s">
        <v>67</v>
      </c>
      <c r="R807" s="3"/>
      <c r="S807" s="3" t="str">
        <f>"Jun 30"</f>
        <v>Jun 30</v>
      </c>
    </row>
    <row r="808" spans="1:19" ht="26.25" x14ac:dyDescent="0.25">
      <c r="A808" s="1">
        <v>41092</v>
      </c>
      <c r="B808" s="1">
        <v>41092</v>
      </c>
      <c r="C808" s="2">
        <f t="shared" si="33"/>
        <v>1</v>
      </c>
      <c r="D808" s="6" t="s">
        <v>3550</v>
      </c>
      <c r="E808" s="3" t="s">
        <v>3551</v>
      </c>
      <c r="F808" s="4" t="s">
        <v>58</v>
      </c>
      <c r="G808" s="3" t="s">
        <v>529</v>
      </c>
      <c r="H808" s="3"/>
      <c r="I808" s="3" t="s">
        <v>496</v>
      </c>
      <c r="J808" s="3" t="s">
        <v>61</v>
      </c>
      <c r="K808" s="3">
        <v>66079</v>
      </c>
      <c r="L808" s="3" t="s">
        <v>3552</v>
      </c>
      <c r="M808" s="3"/>
      <c r="N808" s="3"/>
      <c r="O808" s="3"/>
      <c r="P808" s="3"/>
      <c r="Q808" s="3"/>
      <c r="R808" s="3"/>
      <c r="S808" s="3" t="str">
        <f>"Jul 2"</f>
        <v>Jul 2</v>
      </c>
    </row>
    <row r="809" spans="1:19" ht="39" x14ac:dyDescent="0.25">
      <c r="A809" s="1">
        <v>41094</v>
      </c>
      <c r="B809" s="1">
        <v>41094</v>
      </c>
      <c r="C809" s="2">
        <f t="shared" si="33"/>
        <v>1</v>
      </c>
      <c r="D809" s="6" t="s">
        <v>3553</v>
      </c>
      <c r="E809" s="3" t="s">
        <v>3554</v>
      </c>
      <c r="F809" s="4" t="s">
        <v>58</v>
      </c>
      <c r="G809" s="3" t="s">
        <v>570</v>
      </c>
      <c r="H809" s="3"/>
      <c r="I809" s="3" t="s">
        <v>3555</v>
      </c>
      <c r="J809" s="3" t="s">
        <v>61</v>
      </c>
      <c r="K809" s="3">
        <v>67057</v>
      </c>
      <c r="L809" s="3" t="s">
        <v>3556</v>
      </c>
      <c r="M809" s="3"/>
      <c r="N809" s="3"/>
      <c r="O809" s="3"/>
      <c r="P809" s="3"/>
      <c r="Q809" s="3" t="s">
        <v>67</v>
      </c>
      <c r="R809" s="3"/>
      <c r="S809" s="3" t="str">
        <f t="shared" ref="S809:S822" si="34">"Jul 4"</f>
        <v>Jul 4</v>
      </c>
    </row>
    <row r="810" spans="1:19" ht="39" x14ac:dyDescent="0.25">
      <c r="A810" s="1">
        <v>41094</v>
      </c>
      <c r="B810" s="1">
        <v>41094</v>
      </c>
      <c r="C810" s="2">
        <f t="shared" si="33"/>
        <v>1</v>
      </c>
      <c r="D810" s="6" t="s">
        <v>3553</v>
      </c>
      <c r="E810" s="3" t="s">
        <v>3557</v>
      </c>
      <c r="F810" s="4" t="s">
        <v>58</v>
      </c>
      <c r="G810" s="3" t="s">
        <v>1751</v>
      </c>
      <c r="H810" s="3"/>
      <c r="I810" s="3" t="s">
        <v>963</v>
      </c>
      <c r="J810" s="3" t="s">
        <v>61</v>
      </c>
      <c r="K810" s="3">
        <v>67550</v>
      </c>
      <c r="L810" s="3" t="s">
        <v>1752</v>
      </c>
      <c r="M810" s="3" t="s">
        <v>1753</v>
      </c>
      <c r="N810" s="3" t="s">
        <v>1754</v>
      </c>
      <c r="O810" s="3" t="s">
        <v>2345</v>
      </c>
      <c r="P810" s="3" t="s">
        <v>1756</v>
      </c>
      <c r="Q810" s="3" t="s">
        <v>67</v>
      </c>
      <c r="R810" s="3"/>
      <c r="S810" s="3" t="str">
        <f t="shared" si="34"/>
        <v>Jul 4</v>
      </c>
    </row>
    <row r="811" spans="1:19" ht="26.25" x14ac:dyDescent="0.25">
      <c r="A811" s="1">
        <v>41094</v>
      </c>
      <c r="B811" s="1">
        <v>41094</v>
      </c>
      <c r="C811" s="2">
        <f t="shared" si="33"/>
        <v>1</v>
      </c>
      <c r="D811" s="6" t="s">
        <v>3558</v>
      </c>
      <c r="E811" s="3" t="s">
        <v>3559</v>
      </c>
      <c r="F811" s="4" t="s">
        <v>58</v>
      </c>
      <c r="G811" s="3" t="s">
        <v>3560</v>
      </c>
      <c r="H811" s="3" t="s">
        <v>3561</v>
      </c>
      <c r="I811" s="3" t="s">
        <v>3562</v>
      </c>
      <c r="J811" s="3" t="s">
        <v>61</v>
      </c>
      <c r="K811" s="3">
        <v>66027</v>
      </c>
      <c r="L811" s="3" t="s">
        <v>3563</v>
      </c>
      <c r="M811" s="3" t="s">
        <v>1889</v>
      </c>
      <c r="N811" s="3"/>
      <c r="O811" s="3" t="s">
        <v>3564</v>
      </c>
      <c r="P811" s="3"/>
      <c r="Q811" s="3" t="s">
        <v>67</v>
      </c>
      <c r="R811" s="3"/>
      <c r="S811" s="3" t="str">
        <f t="shared" si="34"/>
        <v>Jul 4</v>
      </c>
    </row>
    <row r="812" spans="1:19" ht="26.25" x14ac:dyDescent="0.25">
      <c r="A812" s="1">
        <v>41094</v>
      </c>
      <c r="B812" s="1">
        <v>41094</v>
      </c>
      <c r="C812" s="2">
        <f t="shared" si="33"/>
        <v>1</v>
      </c>
      <c r="D812" s="6" t="s">
        <v>3565</v>
      </c>
      <c r="E812" s="3" t="s">
        <v>3566</v>
      </c>
      <c r="F812" s="4" t="s">
        <v>58</v>
      </c>
      <c r="G812" s="3" t="s">
        <v>3567</v>
      </c>
      <c r="H812" s="3" t="s">
        <v>3568</v>
      </c>
      <c r="I812" s="3" t="s">
        <v>407</v>
      </c>
      <c r="J812" s="3" t="s">
        <v>61</v>
      </c>
      <c r="K812" s="3">
        <v>67010</v>
      </c>
      <c r="L812" s="3" t="s">
        <v>408</v>
      </c>
      <c r="M812" s="3"/>
      <c r="N812" s="3" t="s">
        <v>409</v>
      </c>
      <c r="O812" s="3" t="s">
        <v>410</v>
      </c>
      <c r="P812" s="3" t="s">
        <v>411</v>
      </c>
      <c r="Q812" s="3" t="s">
        <v>67</v>
      </c>
      <c r="R812" s="3"/>
      <c r="S812" s="3" t="str">
        <f t="shared" si="34"/>
        <v>Jul 4</v>
      </c>
    </row>
    <row r="813" spans="1:19" ht="26.25" x14ac:dyDescent="0.25">
      <c r="A813" s="1">
        <v>41094</v>
      </c>
      <c r="B813" s="1">
        <v>41094</v>
      </c>
      <c r="C813" s="2">
        <f t="shared" si="33"/>
        <v>1</v>
      </c>
      <c r="D813" s="6" t="s">
        <v>3569</v>
      </c>
      <c r="E813" s="3" t="s">
        <v>3570</v>
      </c>
      <c r="F813" s="4" t="s">
        <v>58</v>
      </c>
      <c r="G813" s="3" t="s">
        <v>3571</v>
      </c>
      <c r="H813" s="3" t="s">
        <v>3572</v>
      </c>
      <c r="I813" s="3" t="s">
        <v>105</v>
      </c>
      <c r="J813" s="3" t="s">
        <v>61</v>
      </c>
      <c r="K813" s="3">
        <v>66044</v>
      </c>
      <c r="L813" s="3" t="s">
        <v>3573</v>
      </c>
      <c r="M813" s="3"/>
      <c r="N813" s="3"/>
      <c r="O813" s="3"/>
      <c r="P813" s="3"/>
      <c r="Q813" s="3"/>
      <c r="R813" s="3"/>
      <c r="S813" s="3" t="str">
        <f t="shared" si="34"/>
        <v>Jul 4</v>
      </c>
    </row>
    <row r="814" spans="1:19" ht="39" x14ac:dyDescent="0.25">
      <c r="A814" s="1">
        <v>41094</v>
      </c>
      <c r="B814" s="1">
        <v>41094</v>
      </c>
      <c r="C814" s="2">
        <f t="shared" si="33"/>
        <v>1</v>
      </c>
      <c r="D814" s="6" t="s">
        <v>3574</v>
      </c>
      <c r="E814" s="3" t="s">
        <v>3575</v>
      </c>
      <c r="F814" s="4" t="s">
        <v>58</v>
      </c>
      <c r="G814" s="3" t="s">
        <v>3576</v>
      </c>
      <c r="H814" s="3"/>
      <c r="I814" s="3" t="s">
        <v>315</v>
      </c>
      <c r="J814" s="3" t="s">
        <v>61</v>
      </c>
      <c r="K814" s="3">
        <v>66043</v>
      </c>
      <c r="L814" s="3" t="s">
        <v>949</v>
      </c>
      <c r="M814" s="3"/>
      <c r="N814" s="3" t="s">
        <v>950</v>
      </c>
      <c r="O814" s="3" t="s">
        <v>3577</v>
      </c>
      <c r="P814" s="3" t="s">
        <v>317</v>
      </c>
      <c r="Q814" s="3" t="s">
        <v>67</v>
      </c>
      <c r="R814" s="3"/>
      <c r="S814" s="3" t="str">
        <f t="shared" si="34"/>
        <v>Jul 4</v>
      </c>
    </row>
    <row r="815" spans="1:19" ht="39" x14ac:dyDescent="0.25">
      <c r="A815" s="1">
        <v>41094</v>
      </c>
      <c r="B815" s="1">
        <v>41094</v>
      </c>
      <c r="C815" s="2">
        <f t="shared" si="33"/>
        <v>1</v>
      </c>
      <c r="D815" s="6" t="s">
        <v>3578</v>
      </c>
      <c r="E815" s="3" t="s">
        <v>3579</v>
      </c>
      <c r="F815" s="4" t="s">
        <v>58</v>
      </c>
      <c r="G815" s="3" t="s">
        <v>3580</v>
      </c>
      <c r="H815" s="3" t="s">
        <v>3581</v>
      </c>
      <c r="I815" s="3" t="s">
        <v>2018</v>
      </c>
      <c r="J815" s="3" t="s">
        <v>61</v>
      </c>
      <c r="K815" s="3">
        <v>67735</v>
      </c>
      <c r="L815" s="3" t="s">
        <v>3582</v>
      </c>
      <c r="M815" s="3"/>
      <c r="N815" s="3"/>
      <c r="O815" s="3" t="s">
        <v>3583</v>
      </c>
      <c r="P815" s="3" t="s">
        <v>3584</v>
      </c>
      <c r="Q815" s="3" t="s">
        <v>67</v>
      </c>
      <c r="R815" s="3"/>
      <c r="S815" s="3" t="str">
        <f t="shared" si="34"/>
        <v>Jul 4</v>
      </c>
    </row>
    <row r="816" spans="1:19" ht="39" x14ac:dyDescent="0.25">
      <c r="A816" s="1">
        <v>41094</v>
      </c>
      <c r="B816" s="1">
        <v>41094</v>
      </c>
      <c r="C816" s="2">
        <f t="shared" si="33"/>
        <v>1</v>
      </c>
      <c r="D816" s="6" t="s">
        <v>3585</v>
      </c>
      <c r="E816" s="3" t="s">
        <v>3586</v>
      </c>
      <c r="F816" s="4" t="s">
        <v>58</v>
      </c>
      <c r="G816" s="3" t="s">
        <v>284</v>
      </c>
      <c r="H816" s="3" t="s">
        <v>3587</v>
      </c>
      <c r="I816" s="3" t="s">
        <v>245</v>
      </c>
      <c r="J816" s="3" t="s">
        <v>61</v>
      </c>
      <c r="K816" s="3">
        <v>67401</v>
      </c>
      <c r="L816" s="3" t="s">
        <v>285</v>
      </c>
      <c r="M816" s="3"/>
      <c r="N816" s="3"/>
      <c r="O816" s="3" t="s">
        <v>3588</v>
      </c>
      <c r="P816" s="3" t="s">
        <v>287</v>
      </c>
      <c r="Q816" s="3" t="s">
        <v>67</v>
      </c>
      <c r="R816" s="3" t="s">
        <v>67</v>
      </c>
      <c r="S816" s="3" t="str">
        <f t="shared" si="34"/>
        <v>Jul 4</v>
      </c>
    </row>
    <row r="817" spans="1:19" ht="26.25" x14ac:dyDescent="0.25">
      <c r="A817" s="1">
        <v>41094</v>
      </c>
      <c r="B817" s="1">
        <v>41094</v>
      </c>
      <c r="C817" s="2">
        <f t="shared" si="33"/>
        <v>1</v>
      </c>
      <c r="D817" s="6" t="s">
        <v>3589</v>
      </c>
      <c r="E817" s="3" t="s">
        <v>3590</v>
      </c>
      <c r="F817" s="4" t="s">
        <v>58</v>
      </c>
      <c r="G817" s="3" t="s">
        <v>3591</v>
      </c>
      <c r="H817" s="3"/>
      <c r="I817" s="3" t="s">
        <v>963</v>
      </c>
      <c r="J817" s="3" t="s">
        <v>61</v>
      </c>
      <c r="K817" s="3">
        <v>67550</v>
      </c>
      <c r="L817" s="3" t="s">
        <v>964</v>
      </c>
      <c r="M817" s="3"/>
      <c r="N817" s="3"/>
      <c r="O817" s="3" t="s">
        <v>965</v>
      </c>
      <c r="P817" s="3" t="s">
        <v>966</v>
      </c>
      <c r="Q817" s="3" t="s">
        <v>67</v>
      </c>
      <c r="R817" s="3"/>
      <c r="S817" s="3" t="str">
        <f t="shared" si="34"/>
        <v>Jul 4</v>
      </c>
    </row>
    <row r="818" spans="1:19" ht="26.25" x14ac:dyDescent="0.25">
      <c r="A818" s="1">
        <v>41094</v>
      </c>
      <c r="B818" s="1">
        <v>41094</v>
      </c>
      <c r="C818" s="2">
        <f t="shared" si="33"/>
        <v>1</v>
      </c>
      <c r="D818" s="6" t="s">
        <v>3592</v>
      </c>
      <c r="E818" s="3" t="s">
        <v>3593</v>
      </c>
      <c r="F818" s="4" t="s">
        <v>58</v>
      </c>
      <c r="G818" s="3" t="s">
        <v>3594</v>
      </c>
      <c r="H818" s="3"/>
      <c r="I818" s="3" t="s">
        <v>77</v>
      </c>
      <c r="J818" s="3" t="s">
        <v>61</v>
      </c>
      <c r="K818" s="3">
        <v>66067</v>
      </c>
      <c r="L818" s="3" t="s">
        <v>3595</v>
      </c>
      <c r="M818" s="3"/>
      <c r="N818" s="3"/>
      <c r="O818" s="3"/>
      <c r="P818" s="3"/>
      <c r="Q818" s="3" t="s">
        <v>67</v>
      </c>
      <c r="R818" s="3"/>
      <c r="S818" s="3" t="str">
        <f t="shared" si="34"/>
        <v>Jul 4</v>
      </c>
    </row>
    <row r="819" spans="1:19" ht="39" x14ac:dyDescent="0.25">
      <c r="A819" s="1">
        <v>41094</v>
      </c>
      <c r="B819" s="1">
        <v>41094</v>
      </c>
      <c r="C819" s="2">
        <f t="shared" si="33"/>
        <v>1</v>
      </c>
      <c r="D819" s="6" t="s">
        <v>3596</v>
      </c>
      <c r="E819" s="3" t="s">
        <v>3597</v>
      </c>
      <c r="F819" s="4" t="s">
        <v>58</v>
      </c>
      <c r="G819" s="3" t="s">
        <v>3598</v>
      </c>
      <c r="H819" s="3" t="s">
        <v>3599</v>
      </c>
      <c r="I819" s="3" t="s">
        <v>1727</v>
      </c>
      <c r="J819" s="3" t="s">
        <v>61</v>
      </c>
      <c r="K819" s="3">
        <v>67003</v>
      </c>
      <c r="L819" s="3" t="s">
        <v>1728</v>
      </c>
      <c r="M819" s="3"/>
      <c r="N819" s="3"/>
      <c r="O819" s="3" t="s">
        <v>1730</v>
      </c>
      <c r="P819" s="3" t="s">
        <v>1731</v>
      </c>
      <c r="Q819" s="3" t="s">
        <v>67</v>
      </c>
      <c r="R819" s="3" t="s">
        <v>67</v>
      </c>
      <c r="S819" s="3" t="str">
        <f t="shared" si="34"/>
        <v>Jul 4</v>
      </c>
    </row>
    <row r="820" spans="1:19" ht="26.25" x14ac:dyDescent="0.25">
      <c r="A820" s="1">
        <v>41094</v>
      </c>
      <c r="B820" s="1">
        <v>41094</v>
      </c>
      <c r="C820" s="2">
        <f t="shared" si="33"/>
        <v>1</v>
      </c>
      <c r="D820" s="6" t="s">
        <v>3600</v>
      </c>
      <c r="E820" s="3" t="s">
        <v>3601</v>
      </c>
      <c r="F820" s="4" t="s">
        <v>58</v>
      </c>
      <c r="G820" s="3" t="s">
        <v>3602</v>
      </c>
      <c r="H820" s="3" t="s">
        <v>3603</v>
      </c>
      <c r="I820" s="3" t="s">
        <v>77</v>
      </c>
      <c r="J820" s="3" t="s">
        <v>61</v>
      </c>
      <c r="K820" s="3">
        <v>66067</v>
      </c>
      <c r="L820" s="3" t="s">
        <v>3604</v>
      </c>
      <c r="M820" s="3"/>
      <c r="N820" s="3"/>
      <c r="O820" s="3"/>
      <c r="P820" s="3"/>
      <c r="Q820" s="3" t="s">
        <v>67</v>
      </c>
      <c r="R820" s="3"/>
      <c r="S820" s="3" t="str">
        <f t="shared" si="34"/>
        <v>Jul 4</v>
      </c>
    </row>
    <row r="821" spans="1:19" ht="39" x14ac:dyDescent="0.25">
      <c r="A821" s="1">
        <v>41094</v>
      </c>
      <c r="B821" s="1">
        <v>41094</v>
      </c>
      <c r="C821" s="2">
        <f t="shared" si="33"/>
        <v>1</v>
      </c>
      <c r="D821" s="6" t="s">
        <v>3605</v>
      </c>
      <c r="E821" s="3" t="s">
        <v>3606</v>
      </c>
      <c r="F821" s="4" t="s">
        <v>58</v>
      </c>
      <c r="G821" s="3" t="s">
        <v>3607</v>
      </c>
      <c r="H821" s="3" t="s">
        <v>3608</v>
      </c>
      <c r="I821" s="3" t="s">
        <v>3609</v>
      </c>
      <c r="J821" s="3" t="s">
        <v>61</v>
      </c>
      <c r="K821" s="3">
        <v>66866</v>
      </c>
      <c r="L821" s="3" t="s">
        <v>3610</v>
      </c>
      <c r="M821" s="3"/>
      <c r="N821" s="3" t="s">
        <v>3611</v>
      </c>
      <c r="O821" s="3" t="s">
        <v>3612</v>
      </c>
      <c r="P821" s="3" t="s">
        <v>3613</v>
      </c>
      <c r="Q821" s="3" t="s">
        <v>67</v>
      </c>
      <c r="R821" s="3" t="s">
        <v>67</v>
      </c>
      <c r="S821" s="3" t="str">
        <f t="shared" si="34"/>
        <v>Jul 4</v>
      </c>
    </row>
    <row r="822" spans="1:19" x14ac:dyDescent="0.25">
      <c r="A822" s="1">
        <v>41094</v>
      </c>
      <c r="B822" s="1">
        <v>41094</v>
      </c>
      <c r="C822" s="2">
        <f t="shared" si="33"/>
        <v>1</v>
      </c>
      <c r="D822" s="6" t="s">
        <v>3614</v>
      </c>
      <c r="E822" s="3" t="s">
        <v>3615</v>
      </c>
      <c r="F822" s="4" t="s">
        <v>58</v>
      </c>
      <c r="G822" s="3" t="s">
        <v>3616</v>
      </c>
      <c r="H822" s="3"/>
      <c r="I822" s="3" t="s">
        <v>303</v>
      </c>
      <c r="J822" s="3" t="s">
        <v>61</v>
      </c>
      <c r="K822" s="3">
        <v>66502</v>
      </c>
      <c r="L822" s="3" t="s">
        <v>3617</v>
      </c>
      <c r="M822" s="3"/>
      <c r="N822" s="3"/>
      <c r="O822" s="3" t="s">
        <v>3618</v>
      </c>
      <c r="P822" s="3"/>
      <c r="Q822" s="3"/>
      <c r="R822" s="3"/>
      <c r="S822" s="3" t="str">
        <f t="shared" si="34"/>
        <v>Jul 4</v>
      </c>
    </row>
    <row r="823" spans="1:19" x14ac:dyDescent="0.25">
      <c r="A823" s="1">
        <v>41103</v>
      </c>
      <c r="B823" s="1">
        <v>41103</v>
      </c>
      <c r="C823" s="2">
        <f t="shared" si="33"/>
        <v>1</v>
      </c>
      <c r="D823" s="6" t="s">
        <v>3632</v>
      </c>
      <c r="E823" s="3" t="s">
        <v>3633</v>
      </c>
      <c r="F823" s="4" t="s">
        <v>58</v>
      </c>
      <c r="G823" s="3" t="s">
        <v>1327</v>
      </c>
      <c r="H823" s="3"/>
      <c r="I823" s="3" t="s">
        <v>60</v>
      </c>
      <c r="J823" s="3" t="s">
        <v>61</v>
      </c>
      <c r="K823" s="3">
        <v>66603</v>
      </c>
      <c r="L823" s="3" t="s">
        <v>1328</v>
      </c>
      <c r="M823" s="3"/>
      <c r="N823" s="3"/>
      <c r="O823" s="3"/>
      <c r="P823" s="3" t="s">
        <v>1329</v>
      </c>
      <c r="Q823" s="3" t="s">
        <v>67</v>
      </c>
      <c r="R823" s="3"/>
      <c r="S823" s="3" t="str">
        <f>"Jul 13"</f>
        <v>Jul 13</v>
      </c>
    </row>
    <row r="824" spans="1:19" ht="39" x14ac:dyDescent="0.25">
      <c r="A824" s="1">
        <v>41104</v>
      </c>
      <c r="B824" s="1">
        <v>41104</v>
      </c>
      <c r="C824" s="2">
        <f t="shared" si="33"/>
        <v>1</v>
      </c>
      <c r="D824" s="6" t="s">
        <v>3645</v>
      </c>
      <c r="E824" s="3" t="s">
        <v>3646</v>
      </c>
      <c r="F824" s="4" t="s">
        <v>58</v>
      </c>
      <c r="G824" s="3" t="s">
        <v>3647</v>
      </c>
      <c r="H824" s="3" t="s">
        <v>3648</v>
      </c>
      <c r="I824" s="3" t="s">
        <v>865</v>
      </c>
      <c r="J824" s="3" t="s">
        <v>61</v>
      </c>
      <c r="K824" s="3">
        <v>67601</v>
      </c>
      <c r="L824" s="3" t="s">
        <v>3649</v>
      </c>
      <c r="M824" s="3"/>
      <c r="N824" s="3"/>
      <c r="O824" s="3" t="s">
        <v>3650</v>
      </c>
      <c r="P824" s="3" t="s">
        <v>3651</v>
      </c>
      <c r="Q824" s="3" t="s">
        <v>67</v>
      </c>
      <c r="R824" s="3"/>
      <c r="S824" s="3" t="str">
        <f>"Jul 14"</f>
        <v>Jul 14</v>
      </c>
    </row>
    <row r="825" spans="1:19" x14ac:dyDescent="0.25">
      <c r="A825" s="1">
        <v>41104</v>
      </c>
      <c r="B825" s="1">
        <v>41104</v>
      </c>
      <c r="C825" s="2">
        <f t="shared" si="33"/>
        <v>1</v>
      </c>
      <c r="D825" s="6" t="s">
        <v>1292</v>
      </c>
      <c r="E825" s="3" t="s">
        <v>1292</v>
      </c>
      <c r="F825" s="4" t="s">
        <v>58</v>
      </c>
      <c r="G825" s="3" t="s">
        <v>297</v>
      </c>
      <c r="H825" s="3"/>
      <c r="I825" s="3" t="s">
        <v>60</v>
      </c>
      <c r="J825" s="3" t="s">
        <v>61</v>
      </c>
      <c r="K825" s="3">
        <v>66606</v>
      </c>
      <c r="L825" s="3" t="s">
        <v>298</v>
      </c>
      <c r="M825" s="3"/>
      <c r="N825" s="3"/>
      <c r="O825" s="3"/>
      <c r="P825" s="3" t="s">
        <v>299</v>
      </c>
      <c r="Q825" s="3" t="s">
        <v>67</v>
      </c>
      <c r="R825" s="3" t="s">
        <v>67</v>
      </c>
      <c r="S825" s="3" t="str">
        <f>"Jul 14"</f>
        <v>Jul 14</v>
      </c>
    </row>
    <row r="826" spans="1:19" ht="26.25" x14ac:dyDescent="0.25">
      <c r="A826" s="1">
        <v>41105</v>
      </c>
      <c r="B826" s="1">
        <v>41105</v>
      </c>
      <c r="C826" s="2">
        <f t="shared" si="33"/>
        <v>1</v>
      </c>
      <c r="D826" s="6" t="s">
        <v>3663</v>
      </c>
      <c r="E826" s="3" t="s">
        <v>3664</v>
      </c>
      <c r="F826" s="4" t="s">
        <v>58</v>
      </c>
      <c r="G826" s="3" t="s">
        <v>3665</v>
      </c>
      <c r="H826" s="3"/>
      <c r="I826" s="3" t="s">
        <v>1303</v>
      </c>
      <c r="J826" s="3" t="s">
        <v>61</v>
      </c>
      <c r="K826" s="3">
        <v>66720</v>
      </c>
      <c r="L826" s="3" t="s">
        <v>3666</v>
      </c>
      <c r="M826" s="3"/>
      <c r="N826" s="3"/>
      <c r="O826" s="3" t="s">
        <v>3667</v>
      </c>
      <c r="P826" s="3" t="s">
        <v>3668</v>
      </c>
      <c r="Q826" s="3"/>
      <c r="R826" s="3" t="s">
        <v>67</v>
      </c>
      <c r="S826" s="3" t="str">
        <f>"Jul 15"</f>
        <v>Jul 15</v>
      </c>
    </row>
    <row r="827" spans="1:19" x14ac:dyDescent="0.25">
      <c r="A827" s="1">
        <v>41110</v>
      </c>
      <c r="B827" s="1">
        <v>41110</v>
      </c>
      <c r="C827" s="2">
        <f t="shared" si="33"/>
        <v>1</v>
      </c>
      <c r="D827" s="6" t="s">
        <v>1564</v>
      </c>
      <c r="E827" s="3" t="s">
        <v>1564</v>
      </c>
      <c r="F827" s="4" t="s">
        <v>58</v>
      </c>
      <c r="G827" s="3" t="s">
        <v>297</v>
      </c>
      <c r="H827" s="3"/>
      <c r="I827" s="3" t="s">
        <v>60</v>
      </c>
      <c r="J827" s="3" t="s">
        <v>61</v>
      </c>
      <c r="K827" s="3">
        <v>66606</v>
      </c>
      <c r="L827" s="3" t="s">
        <v>298</v>
      </c>
      <c r="M827" s="3"/>
      <c r="N827" s="3"/>
      <c r="O827" s="3"/>
      <c r="P827" s="3" t="s">
        <v>299</v>
      </c>
      <c r="Q827" s="3" t="s">
        <v>67</v>
      </c>
      <c r="R827" s="3" t="s">
        <v>67</v>
      </c>
      <c r="S827" s="3" t="str">
        <f>"Jul 20"</f>
        <v>Jul 20</v>
      </c>
    </row>
    <row r="828" spans="1:19" ht="26.25" x14ac:dyDescent="0.25">
      <c r="A828" s="1">
        <v>41111</v>
      </c>
      <c r="B828" s="1">
        <v>41111</v>
      </c>
      <c r="C828" s="2">
        <f t="shared" si="33"/>
        <v>1</v>
      </c>
      <c r="D828" s="6" t="s">
        <v>3684</v>
      </c>
      <c r="E828" s="3" t="s">
        <v>3685</v>
      </c>
      <c r="F828" s="4" t="s">
        <v>58</v>
      </c>
      <c r="G828" s="3" t="s">
        <v>1898</v>
      </c>
      <c r="H828" s="3" t="s">
        <v>3686</v>
      </c>
      <c r="I828" s="3" t="s">
        <v>2154</v>
      </c>
      <c r="J828" s="3" t="s">
        <v>61</v>
      </c>
      <c r="K828" s="3">
        <v>66940</v>
      </c>
      <c r="L828" s="3" t="s">
        <v>3687</v>
      </c>
      <c r="M828" s="3"/>
      <c r="N828" s="3"/>
      <c r="O828" s="3"/>
      <c r="P828" s="3"/>
      <c r="Q828" s="3"/>
      <c r="R828" s="3"/>
      <c r="S828" s="3" t="str">
        <f>"Jul 21"</f>
        <v>Jul 21</v>
      </c>
    </row>
    <row r="829" spans="1:19" x14ac:dyDescent="0.25">
      <c r="A829" s="1">
        <v>41111</v>
      </c>
      <c r="B829" s="1">
        <v>41111</v>
      </c>
      <c r="C829" s="2">
        <f t="shared" si="33"/>
        <v>1</v>
      </c>
      <c r="D829" s="6" t="s">
        <v>1636</v>
      </c>
      <c r="E829" s="3" t="s">
        <v>1636</v>
      </c>
      <c r="F829" s="4" t="s">
        <v>58</v>
      </c>
      <c r="G829" s="3" t="s">
        <v>297</v>
      </c>
      <c r="H829" s="3"/>
      <c r="I829" s="3" t="s">
        <v>60</v>
      </c>
      <c r="J829" s="3" t="s">
        <v>61</v>
      </c>
      <c r="K829" s="3">
        <v>66605</v>
      </c>
      <c r="L829" s="3" t="s">
        <v>298</v>
      </c>
      <c r="M829" s="3"/>
      <c r="N829" s="3"/>
      <c r="O829" s="3"/>
      <c r="P829" s="3" t="s">
        <v>299</v>
      </c>
      <c r="Q829" s="3" t="s">
        <v>67</v>
      </c>
      <c r="R829" s="3" t="s">
        <v>67</v>
      </c>
      <c r="S829" s="3" t="str">
        <f>"Jul 21"</f>
        <v>Jul 21</v>
      </c>
    </row>
    <row r="830" spans="1:19" x14ac:dyDescent="0.25">
      <c r="A830" s="1">
        <v>41118</v>
      </c>
      <c r="B830" s="1">
        <v>41118</v>
      </c>
      <c r="C830" s="2">
        <f t="shared" si="33"/>
        <v>1</v>
      </c>
      <c r="D830" s="6" t="s">
        <v>3736</v>
      </c>
      <c r="E830" s="3" t="s">
        <v>3737</v>
      </c>
      <c r="F830" s="4" t="s">
        <v>58</v>
      </c>
      <c r="G830" s="3" t="s">
        <v>1898</v>
      </c>
      <c r="H830" s="3"/>
      <c r="I830" s="3" t="s">
        <v>3738</v>
      </c>
      <c r="J830" s="3" t="s">
        <v>61</v>
      </c>
      <c r="K830" s="3">
        <v>66939</v>
      </c>
      <c r="L830" s="3" t="s">
        <v>3739</v>
      </c>
      <c r="M830" s="3"/>
      <c r="N830" s="3"/>
      <c r="O830" s="3"/>
      <c r="P830" s="3"/>
      <c r="Q830" s="3"/>
      <c r="R830" s="3"/>
      <c r="S830" s="3" t="str">
        <f>"Jul 28"</f>
        <v>Jul 28</v>
      </c>
    </row>
    <row r="831" spans="1:19" x14ac:dyDescent="0.25">
      <c r="A831" s="1">
        <v>41118</v>
      </c>
      <c r="B831" s="1">
        <v>41118</v>
      </c>
      <c r="C831" s="2">
        <f t="shared" si="33"/>
        <v>1</v>
      </c>
      <c r="D831" s="6" t="s">
        <v>3740</v>
      </c>
      <c r="E831" s="3" t="s">
        <v>3741</v>
      </c>
      <c r="F831" s="4" t="s">
        <v>58</v>
      </c>
      <c r="G831" s="3" t="s">
        <v>1898</v>
      </c>
      <c r="H831" s="3"/>
      <c r="I831" s="3" t="s">
        <v>3150</v>
      </c>
      <c r="J831" s="3" t="s">
        <v>61</v>
      </c>
      <c r="K831" s="3">
        <v>66538</v>
      </c>
      <c r="L831" s="3" t="s">
        <v>3742</v>
      </c>
      <c r="M831" s="3"/>
      <c r="N831" s="3"/>
      <c r="O831" s="3" t="s">
        <v>3152</v>
      </c>
      <c r="P831" s="3" t="s">
        <v>3743</v>
      </c>
      <c r="Q831" s="3"/>
      <c r="R831" s="3"/>
      <c r="S831" s="3" t="str">
        <f>"Jul 28"</f>
        <v>Jul 28</v>
      </c>
    </row>
    <row r="832" spans="1:19" x14ac:dyDescent="0.25">
      <c r="A832" s="1">
        <v>41119</v>
      </c>
      <c r="B832" s="1">
        <v>41119</v>
      </c>
      <c r="C832" s="2">
        <f t="shared" si="33"/>
        <v>1</v>
      </c>
      <c r="D832" s="6" t="s">
        <v>3744</v>
      </c>
      <c r="E832" s="3" t="s">
        <v>3745</v>
      </c>
      <c r="F832" s="4" t="s">
        <v>58</v>
      </c>
      <c r="G832" s="3" t="s">
        <v>3746</v>
      </c>
      <c r="H832" s="3" t="s">
        <v>570</v>
      </c>
      <c r="I832" s="3" t="s">
        <v>3150</v>
      </c>
      <c r="J832" s="3" t="s">
        <v>61</v>
      </c>
      <c r="K832" s="3">
        <v>66538</v>
      </c>
      <c r="L832" s="3" t="s">
        <v>3747</v>
      </c>
      <c r="M832" s="3"/>
      <c r="N832" s="3"/>
      <c r="O832" s="3" t="s">
        <v>3152</v>
      </c>
      <c r="P832" s="3" t="s">
        <v>3743</v>
      </c>
      <c r="Q832" s="3"/>
      <c r="R832" s="3"/>
      <c r="S832" s="3" t="str">
        <f>"Jul 29"</f>
        <v>Jul 29</v>
      </c>
    </row>
    <row r="833" spans="1:19" ht="26.25" x14ac:dyDescent="0.25">
      <c r="A833" s="1">
        <v>41125</v>
      </c>
      <c r="B833" s="1">
        <v>41125</v>
      </c>
      <c r="C833" s="2">
        <f t="shared" si="33"/>
        <v>1</v>
      </c>
      <c r="D833" s="6" t="s">
        <v>3776</v>
      </c>
      <c r="E833" s="3" t="s">
        <v>3777</v>
      </c>
      <c r="F833" s="4" t="s">
        <v>58</v>
      </c>
      <c r="G833" s="3" t="s">
        <v>3778</v>
      </c>
      <c r="H833" s="3"/>
      <c r="I833" s="3" t="s">
        <v>407</v>
      </c>
      <c r="J833" s="3" t="s">
        <v>61</v>
      </c>
      <c r="K833" s="3">
        <v>67010</v>
      </c>
      <c r="L833" s="3" t="s">
        <v>3779</v>
      </c>
      <c r="M833" s="3"/>
      <c r="N833" s="3"/>
      <c r="O833" s="3" t="s">
        <v>410</v>
      </c>
      <c r="P833" s="3"/>
      <c r="Q833" s="3" t="s">
        <v>67</v>
      </c>
      <c r="R833" s="3"/>
      <c r="S833" s="3" t="str">
        <f>"Aug 4"</f>
        <v>Aug 4</v>
      </c>
    </row>
    <row r="834" spans="1:19" x14ac:dyDescent="0.25">
      <c r="A834" s="1">
        <v>41125</v>
      </c>
      <c r="B834" s="1">
        <v>41125</v>
      </c>
      <c r="C834" s="2">
        <f t="shared" ref="C834:C897" si="35">(B834-A834)+1</f>
        <v>1</v>
      </c>
      <c r="D834" s="6" t="s">
        <v>3780</v>
      </c>
      <c r="E834" s="3" t="s">
        <v>3781</v>
      </c>
      <c r="F834" s="4" t="s">
        <v>58</v>
      </c>
      <c r="G834" s="3" t="s">
        <v>3782</v>
      </c>
      <c r="H834" s="3"/>
      <c r="I834" s="3" t="s">
        <v>2018</v>
      </c>
      <c r="J834" s="3" t="s">
        <v>61</v>
      </c>
      <c r="K834" s="3">
        <v>67735</v>
      </c>
      <c r="L834" s="3" t="s">
        <v>3783</v>
      </c>
      <c r="M834" s="3"/>
      <c r="N834" s="3"/>
      <c r="O834" s="3"/>
      <c r="P834" s="3" t="s">
        <v>3784</v>
      </c>
      <c r="Q834" s="3" t="s">
        <v>67</v>
      </c>
      <c r="R834" s="3" t="s">
        <v>67</v>
      </c>
      <c r="S834" s="3" t="str">
        <f>"Aug 4"</f>
        <v>Aug 4</v>
      </c>
    </row>
    <row r="835" spans="1:19" ht="26.25" x14ac:dyDescent="0.25">
      <c r="A835" s="1">
        <v>41139</v>
      </c>
      <c r="B835" s="1">
        <v>41139</v>
      </c>
      <c r="C835" s="2">
        <f t="shared" si="35"/>
        <v>1</v>
      </c>
      <c r="D835" s="6" t="s">
        <v>3823</v>
      </c>
      <c r="E835" s="3" t="s">
        <v>3824</v>
      </c>
      <c r="F835" s="4" t="s">
        <v>58</v>
      </c>
      <c r="G835" s="3" t="s">
        <v>3825</v>
      </c>
      <c r="H835" s="3"/>
      <c r="I835" s="3" t="s">
        <v>60</v>
      </c>
      <c r="J835" s="3" t="s">
        <v>61</v>
      </c>
      <c r="K835" s="3">
        <v>66608</v>
      </c>
      <c r="L835" s="3" t="s">
        <v>1883</v>
      </c>
      <c r="M835" s="3"/>
      <c r="N835" s="3"/>
      <c r="O835" s="3"/>
      <c r="P835" s="3" t="s">
        <v>2532</v>
      </c>
      <c r="Q835" s="3" t="s">
        <v>67</v>
      </c>
      <c r="R835" s="3" t="s">
        <v>67</v>
      </c>
      <c r="S835" s="3" t="str">
        <f>"Aug 18"</f>
        <v>Aug 18</v>
      </c>
    </row>
    <row r="836" spans="1:19" ht="26.25" x14ac:dyDescent="0.25">
      <c r="A836" s="1">
        <v>41139</v>
      </c>
      <c r="B836" s="1">
        <v>41139</v>
      </c>
      <c r="C836" s="2">
        <f t="shared" si="35"/>
        <v>1</v>
      </c>
      <c r="D836" s="6" t="s">
        <v>3826</v>
      </c>
      <c r="E836" s="3" t="s">
        <v>3827</v>
      </c>
      <c r="F836" s="4" t="s">
        <v>58</v>
      </c>
      <c r="G836" s="3" t="s">
        <v>3828</v>
      </c>
      <c r="H836" s="3" t="s">
        <v>3829</v>
      </c>
      <c r="I836" s="3" t="s">
        <v>865</v>
      </c>
      <c r="J836" s="3" t="s">
        <v>61</v>
      </c>
      <c r="K836" s="3">
        <v>67601</v>
      </c>
      <c r="L836" s="3" t="s">
        <v>3830</v>
      </c>
      <c r="M836" s="3"/>
      <c r="N836" s="3" t="s">
        <v>3831</v>
      </c>
      <c r="O836" s="3" t="s">
        <v>3832</v>
      </c>
      <c r="P836" s="3"/>
      <c r="Q836" s="3"/>
      <c r="R836" s="3"/>
      <c r="S836" s="3" t="str">
        <f>"Aug 18"</f>
        <v>Aug 18</v>
      </c>
    </row>
    <row r="837" spans="1:19" x14ac:dyDescent="0.25">
      <c r="A837" s="1">
        <v>41146</v>
      </c>
      <c r="B837" s="1">
        <v>41146</v>
      </c>
      <c r="C837" s="2">
        <f t="shared" si="35"/>
        <v>1</v>
      </c>
      <c r="D837" s="6" t="s">
        <v>3840</v>
      </c>
      <c r="E837" s="3" t="s">
        <v>3841</v>
      </c>
      <c r="F837" s="4" t="s">
        <v>58</v>
      </c>
      <c r="G837" s="3" t="s">
        <v>3369</v>
      </c>
      <c r="H837" s="3"/>
      <c r="I837" s="3" t="s">
        <v>3371</v>
      </c>
      <c r="J837" s="3" t="s">
        <v>61</v>
      </c>
      <c r="K837" s="3">
        <v>66782</v>
      </c>
      <c r="L837" s="3" t="s">
        <v>3372</v>
      </c>
      <c r="M837" s="3"/>
      <c r="N837" s="3" t="s">
        <v>3373</v>
      </c>
      <c r="O837" s="3" t="s">
        <v>3374</v>
      </c>
      <c r="P837" s="3" t="s">
        <v>3375</v>
      </c>
      <c r="Q837" s="3" t="s">
        <v>67</v>
      </c>
      <c r="R837" s="3" t="s">
        <v>67</v>
      </c>
      <c r="S837" s="3" t="str">
        <f>"Aug 25"</f>
        <v>Aug 25</v>
      </c>
    </row>
    <row r="838" spans="1:19" ht="39" x14ac:dyDescent="0.25">
      <c r="A838" s="1">
        <v>41146</v>
      </c>
      <c r="B838" s="1">
        <v>41146</v>
      </c>
      <c r="C838" s="2">
        <f t="shared" si="35"/>
        <v>1</v>
      </c>
      <c r="D838" s="6" t="s">
        <v>3842</v>
      </c>
      <c r="E838" s="3" t="s">
        <v>3843</v>
      </c>
      <c r="F838" s="4" t="s">
        <v>58</v>
      </c>
      <c r="G838" s="3" t="s">
        <v>3844</v>
      </c>
      <c r="H838" s="3" t="s">
        <v>3845</v>
      </c>
      <c r="I838" s="3" t="s">
        <v>865</v>
      </c>
      <c r="J838" s="3" t="s">
        <v>61</v>
      </c>
      <c r="K838" s="3">
        <v>67601</v>
      </c>
      <c r="L838" s="3" t="s">
        <v>3846</v>
      </c>
      <c r="M838" s="3"/>
      <c r="N838" s="3"/>
      <c r="O838" s="3" t="s">
        <v>3847</v>
      </c>
      <c r="P838" s="3" t="s">
        <v>3848</v>
      </c>
      <c r="Q838" s="3" t="s">
        <v>67</v>
      </c>
      <c r="R838" s="3"/>
      <c r="S838" s="3" t="str">
        <f>"Aug 25"</f>
        <v>Aug 25</v>
      </c>
    </row>
    <row r="839" spans="1:19" ht="26.25" x14ac:dyDescent="0.25">
      <c r="A839" s="1">
        <v>41152</v>
      </c>
      <c r="B839" s="1">
        <v>41152</v>
      </c>
      <c r="C839" s="2">
        <f t="shared" si="35"/>
        <v>1</v>
      </c>
      <c r="D839" s="6" t="s">
        <v>3849</v>
      </c>
      <c r="E839" s="3" t="s">
        <v>3850</v>
      </c>
      <c r="F839" s="4" t="s">
        <v>58</v>
      </c>
      <c r="G839" s="3" t="s">
        <v>1898</v>
      </c>
      <c r="H839" s="3"/>
      <c r="I839" s="3" t="s">
        <v>172</v>
      </c>
      <c r="J839" s="3" t="s">
        <v>61</v>
      </c>
      <c r="K839" s="3">
        <v>66092</v>
      </c>
      <c r="L839" s="3" t="s">
        <v>3851</v>
      </c>
      <c r="M839" s="3"/>
      <c r="N839" s="3"/>
      <c r="O839" s="3"/>
      <c r="P839" s="3" t="s">
        <v>3852</v>
      </c>
      <c r="Q839" s="3"/>
      <c r="R839" s="3"/>
      <c r="S839" s="3" t="str">
        <f>"Aug 31"</f>
        <v>Aug 31</v>
      </c>
    </row>
    <row r="840" spans="1:19" ht="39" x14ac:dyDescent="0.25">
      <c r="A840" s="1">
        <v>41153</v>
      </c>
      <c r="B840" s="1">
        <v>41153</v>
      </c>
      <c r="C840" s="2">
        <f t="shared" si="35"/>
        <v>1</v>
      </c>
      <c r="D840" s="6" t="s">
        <v>3861</v>
      </c>
      <c r="E840" s="3" t="s">
        <v>3862</v>
      </c>
      <c r="F840" s="4" t="s">
        <v>58</v>
      </c>
      <c r="G840" s="3" t="s">
        <v>215</v>
      </c>
      <c r="H840" s="3"/>
      <c r="I840" s="3" t="s">
        <v>1768</v>
      </c>
      <c r="J840" s="3" t="s">
        <v>61</v>
      </c>
      <c r="K840" s="3">
        <v>67455</v>
      </c>
      <c r="L840" s="3" t="s">
        <v>3863</v>
      </c>
      <c r="M840" s="3"/>
      <c r="N840" s="3"/>
      <c r="O840" s="3" t="s">
        <v>3864</v>
      </c>
      <c r="P840" s="3"/>
      <c r="Q840" s="3" t="s">
        <v>67</v>
      </c>
      <c r="R840" s="3"/>
      <c r="S840" s="3" t="str">
        <f>"Sep 1"</f>
        <v>Sep 1</v>
      </c>
    </row>
    <row r="841" spans="1:19" ht="26.25" x14ac:dyDescent="0.25">
      <c r="A841" s="1">
        <v>41153</v>
      </c>
      <c r="B841" s="1">
        <v>41153</v>
      </c>
      <c r="C841" s="2">
        <f t="shared" si="35"/>
        <v>1</v>
      </c>
      <c r="D841" s="6" t="s">
        <v>3865</v>
      </c>
      <c r="E841" s="3" t="s">
        <v>3866</v>
      </c>
      <c r="F841" s="4" t="s">
        <v>58</v>
      </c>
      <c r="G841" s="3" t="s">
        <v>3867</v>
      </c>
      <c r="H841" s="3"/>
      <c r="I841" s="3" t="s">
        <v>1768</v>
      </c>
      <c r="J841" s="3" t="s">
        <v>61</v>
      </c>
      <c r="K841" s="3">
        <v>67455</v>
      </c>
      <c r="L841" s="3" t="s">
        <v>3868</v>
      </c>
      <c r="M841" s="3"/>
      <c r="N841" s="3"/>
      <c r="O841" s="3" t="s">
        <v>3864</v>
      </c>
      <c r="P841" s="3" t="s">
        <v>3869</v>
      </c>
      <c r="Q841" s="3"/>
      <c r="R841" s="3"/>
      <c r="S841" s="3" t="str">
        <f>"Sep 1"</f>
        <v>Sep 1</v>
      </c>
    </row>
    <row r="842" spans="1:19" ht="51.75" x14ac:dyDescent="0.25">
      <c r="A842" s="1">
        <v>41155</v>
      </c>
      <c r="B842" s="1">
        <v>41155</v>
      </c>
      <c r="C842" s="2">
        <f t="shared" si="35"/>
        <v>1</v>
      </c>
      <c r="D842" s="6" t="s">
        <v>3876</v>
      </c>
      <c r="E842" s="3" t="s">
        <v>3877</v>
      </c>
      <c r="F842" s="4" t="s">
        <v>58</v>
      </c>
      <c r="G842" s="3" t="s">
        <v>3878</v>
      </c>
      <c r="H842" s="3" t="s">
        <v>3879</v>
      </c>
      <c r="I842" s="3" t="s">
        <v>3880</v>
      </c>
      <c r="J842" s="3" t="s">
        <v>61</v>
      </c>
      <c r="K842" s="3">
        <v>67573</v>
      </c>
      <c r="L842" s="3" t="s">
        <v>2683</v>
      </c>
      <c r="M842" s="3"/>
      <c r="N842" s="3"/>
      <c r="O842" s="3"/>
      <c r="P842" s="3"/>
      <c r="Q842" s="3" t="s">
        <v>67</v>
      </c>
      <c r="R842" s="3"/>
      <c r="S842" s="3" t="str">
        <f>"Sep 3"</f>
        <v>Sep 3</v>
      </c>
    </row>
    <row r="843" spans="1:19" ht="39" x14ac:dyDescent="0.25">
      <c r="A843" s="1">
        <v>41158</v>
      </c>
      <c r="B843" s="1">
        <v>41158</v>
      </c>
      <c r="C843" s="2">
        <f t="shared" si="35"/>
        <v>1</v>
      </c>
      <c r="D843" s="6" t="s">
        <v>3886</v>
      </c>
      <c r="E843" s="3" t="s">
        <v>3887</v>
      </c>
      <c r="F843" s="4" t="s">
        <v>58</v>
      </c>
      <c r="G843" s="3" t="s">
        <v>565</v>
      </c>
      <c r="H843" s="3" t="s">
        <v>3888</v>
      </c>
      <c r="I843" s="3" t="s">
        <v>505</v>
      </c>
      <c r="J843" s="3" t="s">
        <v>61</v>
      </c>
      <c r="K843" s="3">
        <v>67156</v>
      </c>
      <c r="L843" s="3" t="s">
        <v>3889</v>
      </c>
      <c r="M843" s="3"/>
      <c r="N843" s="3"/>
      <c r="O843" s="3"/>
      <c r="P843" s="3" t="s">
        <v>3890</v>
      </c>
      <c r="Q843" s="3" t="s">
        <v>67</v>
      </c>
      <c r="R843" s="3" t="s">
        <v>67</v>
      </c>
      <c r="S843" s="3" t="str">
        <f>"Sep 6"</f>
        <v>Sep 6</v>
      </c>
    </row>
    <row r="844" spans="1:19" ht="26.25" x14ac:dyDescent="0.25">
      <c r="A844" s="1">
        <v>41160</v>
      </c>
      <c r="B844" s="1">
        <v>41160</v>
      </c>
      <c r="C844" s="2">
        <f t="shared" si="35"/>
        <v>1</v>
      </c>
      <c r="D844" s="6" t="s">
        <v>990</v>
      </c>
      <c r="E844" s="3" t="s">
        <v>991</v>
      </c>
      <c r="F844" s="4" t="s">
        <v>58</v>
      </c>
      <c r="G844" s="3" t="s">
        <v>992</v>
      </c>
      <c r="H844" s="3"/>
      <c r="I844" s="3" t="s">
        <v>993</v>
      </c>
      <c r="J844" s="3" t="s">
        <v>61</v>
      </c>
      <c r="K844" s="3">
        <v>66048</v>
      </c>
      <c r="L844" s="3" t="s">
        <v>994</v>
      </c>
      <c r="M844" s="3"/>
      <c r="N844" s="3"/>
      <c r="O844" s="3" t="s">
        <v>995</v>
      </c>
      <c r="P844" s="3" t="s">
        <v>996</v>
      </c>
      <c r="Q844" s="3" t="s">
        <v>67</v>
      </c>
      <c r="R844" s="3"/>
      <c r="S844" s="3" t="str">
        <f>"Sep 8"</f>
        <v>Sep 8</v>
      </c>
    </row>
    <row r="845" spans="1:19" ht="39" x14ac:dyDescent="0.25">
      <c r="A845" s="1">
        <v>41160</v>
      </c>
      <c r="B845" s="1">
        <v>41160</v>
      </c>
      <c r="C845" s="2">
        <f t="shared" si="35"/>
        <v>1</v>
      </c>
      <c r="D845" s="6" t="s">
        <v>3915</v>
      </c>
      <c r="E845" s="3" t="s">
        <v>3916</v>
      </c>
      <c r="F845" s="4" t="s">
        <v>58</v>
      </c>
      <c r="G845" s="3" t="s">
        <v>3917</v>
      </c>
      <c r="H845" s="3" t="s">
        <v>3918</v>
      </c>
      <c r="I845" s="3" t="s">
        <v>1174</v>
      </c>
      <c r="J845" s="3" t="s">
        <v>61</v>
      </c>
      <c r="K845" s="3">
        <v>66215</v>
      </c>
      <c r="L845" s="3" t="s">
        <v>1219</v>
      </c>
      <c r="M845" s="3"/>
      <c r="N845" s="3"/>
      <c r="O845" s="3"/>
      <c r="P845" s="3" t="s">
        <v>3919</v>
      </c>
      <c r="Q845" s="3" t="s">
        <v>67</v>
      </c>
      <c r="R845" s="3" t="s">
        <v>67</v>
      </c>
      <c r="S845" s="3" t="str">
        <f>"Sep 8"</f>
        <v>Sep 8</v>
      </c>
    </row>
    <row r="846" spans="1:19" ht="39" x14ac:dyDescent="0.25">
      <c r="A846" s="1">
        <v>41161</v>
      </c>
      <c r="B846" s="1">
        <v>41161</v>
      </c>
      <c r="C846" s="2">
        <f t="shared" si="35"/>
        <v>1</v>
      </c>
      <c r="D846" s="6" t="s">
        <v>3928</v>
      </c>
      <c r="E846" s="3" t="s">
        <v>3929</v>
      </c>
      <c r="F846" s="4" t="s">
        <v>58</v>
      </c>
      <c r="G846" s="3" t="s">
        <v>3930</v>
      </c>
      <c r="H846" s="3" t="s">
        <v>3232</v>
      </c>
      <c r="I846" s="3" t="s">
        <v>105</v>
      </c>
      <c r="J846" s="3" t="s">
        <v>61</v>
      </c>
      <c r="K846" s="3">
        <v>66044</v>
      </c>
      <c r="L846" s="3" t="s">
        <v>3384</v>
      </c>
      <c r="M846" s="3"/>
      <c r="N846" s="3"/>
      <c r="O846" s="3"/>
      <c r="P846" s="3"/>
      <c r="Q846" s="3" t="s">
        <v>67</v>
      </c>
      <c r="R846" s="3"/>
      <c r="S846" s="3" t="str">
        <f>"Sep 9"</f>
        <v>Sep 9</v>
      </c>
    </row>
    <row r="847" spans="1:19" ht="26.25" x14ac:dyDescent="0.25">
      <c r="A847" s="1">
        <v>41163</v>
      </c>
      <c r="B847" s="1">
        <v>41163</v>
      </c>
      <c r="C847" s="2">
        <f t="shared" si="35"/>
        <v>1</v>
      </c>
      <c r="D847" s="6" t="s">
        <v>3931</v>
      </c>
      <c r="E847" s="3" t="s">
        <v>3932</v>
      </c>
      <c r="F847" s="4" t="s">
        <v>58</v>
      </c>
      <c r="G847" s="3" t="s">
        <v>3933</v>
      </c>
      <c r="H847" s="3"/>
      <c r="I847" s="3" t="s">
        <v>505</v>
      </c>
      <c r="J847" s="3" t="s">
        <v>61</v>
      </c>
      <c r="K847" s="3">
        <v>67156</v>
      </c>
      <c r="L847" s="3" t="s">
        <v>506</v>
      </c>
      <c r="M847" s="3"/>
      <c r="N847" s="3"/>
      <c r="O847" s="3"/>
      <c r="P847" s="3" t="s">
        <v>3934</v>
      </c>
      <c r="Q847" s="3" t="s">
        <v>67</v>
      </c>
      <c r="R847" s="3"/>
      <c r="S847" s="3" t="str">
        <f>"Sep 11"</f>
        <v>Sep 11</v>
      </c>
    </row>
    <row r="848" spans="1:19" ht="39" x14ac:dyDescent="0.25">
      <c r="A848" s="1">
        <v>41167</v>
      </c>
      <c r="B848" s="1">
        <v>41167</v>
      </c>
      <c r="C848" s="2">
        <f t="shared" si="35"/>
        <v>1</v>
      </c>
      <c r="D848" s="6" t="s">
        <v>3939</v>
      </c>
      <c r="E848" s="3" t="s">
        <v>3940</v>
      </c>
      <c r="F848" s="4" t="s">
        <v>58</v>
      </c>
      <c r="G848" s="3" t="s">
        <v>3941</v>
      </c>
      <c r="H848" s="3"/>
      <c r="I848" s="3" t="s">
        <v>3350</v>
      </c>
      <c r="J848" s="3" t="s">
        <v>61</v>
      </c>
      <c r="K848" s="3">
        <v>66861</v>
      </c>
      <c r="L848" s="3" t="s">
        <v>3351</v>
      </c>
      <c r="M848" s="3"/>
      <c r="N848" s="3"/>
      <c r="O848" s="3" t="s">
        <v>3352</v>
      </c>
      <c r="P848" s="3" t="s">
        <v>3942</v>
      </c>
      <c r="Q848" s="3" t="s">
        <v>67</v>
      </c>
      <c r="R848" s="3"/>
      <c r="S848" s="3" t="str">
        <f>"Sep 15"</f>
        <v>Sep 15</v>
      </c>
    </row>
    <row r="849" spans="1:19" ht="51.75" x14ac:dyDescent="0.25">
      <c r="A849" s="1">
        <v>41167</v>
      </c>
      <c r="B849" s="1">
        <v>41167</v>
      </c>
      <c r="C849" s="2">
        <f t="shared" si="35"/>
        <v>1</v>
      </c>
      <c r="D849" s="6" t="s">
        <v>3943</v>
      </c>
      <c r="E849" s="3" t="s">
        <v>3944</v>
      </c>
      <c r="F849" s="4" t="s">
        <v>58</v>
      </c>
      <c r="G849" s="3" t="s">
        <v>3945</v>
      </c>
      <c r="H849" s="3"/>
      <c r="I849" s="3" t="s">
        <v>3946</v>
      </c>
      <c r="J849" s="3" t="s">
        <v>61</v>
      </c>
      <c r="K849" s="3">
        <v>66968</v>
      </c>
      <c r="L849" s="3" t="s">
        <v>3947</v>
      </c>
      <c r="M849" s="3"/>
      <c r="N849" s="3"/>
      <c r="O849" s="3" t="s">
        <v>3948</v>
      </c>
      <c r="P849" s="3" t="s">
        <v>3949</v>
      </c>
      <c r="Q849" s="3" t="s">
        <v>67</v>
      </c>
      <c r="R849" s="3"/>
      <c r="S849" s="3" t="str">
        <f>"Sep 15"</f>
        <v>Sep 15</v>
      </c>
    </row>
    <row r="850" spans="1:19" ht="26.25" x14ac:dyDescent="0.25">
      <c r="A850" s="1">
        <v>41174</v>
      </c>
      <c r="B850" s="1">
        <v>41174</v>
      </c>
      <c r="C850" s="2">
        <f t="shared" si="35"/>
        <v>1</v>
      </c>
      <c r="D850" s="6" t="s">
        <v>3962</v>
      </c>
      <c r="E850" s="3" t="s">
        <v>3963</v>
      </c>
      <c r="F850" s="4" t="s">
        <v>58</v>
      </c>
      <c r="G850" s="3" t="s">
        <v>3964</v>
      </c>
      <c r="H850" s="3" t="s">
        <v>131</v>
      </c>
      <c r="I850" s="3" t="s">
        <v>133</v>
      </c>
      <c r="J850" s="3" t="s">
        <v>61</v>
      </c>
      <c r="K850" s="3">
        <v>66845</v>
      </c>
      <c r="L850" s="3" t="s">
        <v>134</v>
      </c>
      <c r="M850" s="3"/>
      <c r="N850" s="3"/>
      <c r="O850" s="3" t="s">
        <v>135</v>
      </c>
      <c r="P850" s="3" t="s">
        <v>136</v>
      </c>
      <c r="Q850" s="3"/>
      <c r="R850" s="3"/>
      <c r="S850" s="3" t="str">
        <f>"Sep 22"</f>
        <v>Sep 22</v>
      </c>
    </row>
    <row r="851" spans="1:19" ht="26.25" x14ac:dyDescent="0.25">
      <c r="A851" s="1">
        <v>41181</v>
      </c>
      <c r="B851" s="1">
        <v>41181</v>
      </c>
      <c r="C851" s="2">
        <f t="shared" si="35"/>
        <v>1</v>
      </c>
      <c r="D851" s="6" t="s">
        <v>1012</v>
      </c>
      <c r="E851" s="3" t="s">
        <v>3986</v>
      </c>
      <c r="F851" s="4" t="s">
        <v>58</v>
      </c>
      <c r="G851" s="3" t="s">
        <v>509</v>
      </c>
      <c r="H851" s="3"/>
      <c r="I851" s="3" t="s">
        <v>125</v>
      </c>
      <c r="J851" s="3" t="s">
        <v>61</v>
      </c>
      <c r="K851" s="3">
        <v>67801</v>
      </c>
      <c r="L851" s="3" t="s">
        <v>3987</v>
      </c>
      <c r="M851" s="3"/>
      <c r="N851" s="3" t="s">
        <v>3987</v>
      </c>
      <c r="O851" s="3" t="s">
        <v>2222</v>
      </c>
      <c r="P851" s="3"/>
      <c r="Q851" s="3" t="s">
        <v>67</v>
      </c>
      <c r="R851" s="3"/>
      <c r="S851" s="3" t="str">
        <f>"Sep 29"</f>
        <v>Sep 29</v>
      </c>
    </row>
    <row r="852" spans="1:19" s="25" customFormat="1" ht="39.75" thickBot="1" x14ac:dyDescent="0.3">
      <c r="A852" s="11">
        <v>41181</v>
      </c>
      <c r="B852" s="11">
        <v>41181</v>
      </c>
      <c r="C852" s="23">
        <f t="shared" si="35"/>
        <v>1</v>
      </c>
      <c r="D852" s="28" t="s">
        <v>3988</v>
      </c>
      <c r="E852" s="12" t="s">
        <v>3989</v>
      </c>
      <c r="F852" s="24" t="s">
        <v>58</v>
      </c>
      <c r="G852" s="12" t="s">
        <v>3348</v>
      </c>
      <c r="H852" s="12" t="s">
        <v>3349</v>
      </c>
      <c r="I852" s="12" t="s">
        <v>3350</v>
      </c>
      <c r="J852" s="12" t="s">
        <v>61</v>
      </c>
      <c r="K852" s="12">
        <v>66861</v>
      </c>
      <c r="L852" s="12" t="s">
        <v>3990</v>
      </c>
      <c r="M852" s="12"/>
      <c r="N852" s="12"/>
      <c r="O852" s="12" t="s">
        <v>3991</v>
      </c>
      <c r="P852" s="12" t="s">
        <v>3942</v>
      </c>
      <c r="Q852" s="12" t="s">
        <v>67</v>
      </c>
      <c r="R852" s="12"/>
      <c r="S852" s="12" t="str">
        <f>"Sep 29"</f>
        <v>Sep 29</v>
      </c>
    </row>
    <row r="853" spans="1:19" ht="26.25" x14ac:dyDescent="0.25">
      <c r="A853" s="13">
        <v>41117</v>
      </c>
      <c r="B853" s="13">
        <v>41126</v>
      </c>
      <c r="C853" s="21">
        <f t="shared" si="35"/>
        <v>10</v>
      </c>
      <c r="D853" s="22" t="s">
        <v>3731</v>
      </c>
      <c r="E853" s="9" t="s">
        <v>3732</v>
      </c>
      <c r="F853" s="5" t="s">
        <v>67</v>
      </c>
      <c r="G853" s="9" t="s">
        <v>883</v>
      </c>
      <c r="H853" s="9" t="s">
        <v>882</v>
      </c>
      <c r="I853" s="9" t="s">
        <v>105</v>
      </c>
      <c r="J853" s="9" t="s">
        <v>61</v>
      </c>
      <c r="K853" s="9">
        <v>66044</v>
      </c>
      <c r="L853" s="9" t="s">
        <v>3733</v>
      </c>
      <c r="M853" s="9"/>
      <c r="N853" s="9"/>
      <c r="O853" s="9"/>
      <c r="P853" s="9"/>
      <c r="Q853" s="9" t="s">
        <v>67</v>
      </c>
      <c r="R853" s="9"/>
      <c r="S853" s="9" t="str">
        <f>"Jul 27-Aug 5"</f>
        <v>Jul 27-Aug 5</v>
      </c>
    </row>
    <row r="854" spans="1:19" x14ac:dyDescent="0.25">
      <c r="A854" s="1">
        <v>41159</v>
      </c>
      <c r="B854" s="1">
        <v>41168</v>
      </c>
      <c r="C854" s="2">
        <f t="shared" si="35"/>
        <v>10</v>
      </c>
      <c r="D854" s="6" t="s">
        <v>6</v>
      </c>
      <c r="E854" s="3" t="s">
        <v>3905</v>
      </c>
      <c r="F854" s="4" t="s">
        <v>67</v>
      </c>
      <c r="G854" s="3" t="s">
        <v>1525</v>
      </c>
      <c r="H854" s="3" t="s">
        <v>3906</v>
      </c>
      <c r="I854" s="3" t="s">
        <v>85</v>
      </c>
      <c r="J854" s="3" t="s">
        <v>61</v>
      </c>
      <c r="K854" s="3">
        <v>67502</v>
      </c>
      <c r="L854" s="3" t="s">
        <v>3907</v>
      </c>
      <c r="M854" s="3" t="s">
        <v>3908</v>
      </c>
      <c r="N854" s="3"/>
      <c r="O854" s="3" t="s">
        <v>3909</v>
      </c>
      <c r="P854" s="3" t="s">
        <v>3910</v>
      </c>
      <c r="Q854" s="3" t="s">
        <v>67</v>
      </c>
      <c r="R854" s="3" t="s">
        <v>67</v>
      </c>
      <c r="S854" s="3" t="str">
        <f>"Sep 7-16"</f>
        <v>Sep 7-16</v>
      </c>
    </row>
    <row r="855" spans="1:19" ht="39" x14ac:dyDescent="0.25">
      <c r="A855" s="1">
        <v>40837</v>
      </c>
      <c r="B855" s="1">
        <v>40845</v>
      </c>
      <c r="C855" s="2">
        <f t="shared" si="35"/>
        <v>9</v>
      </c>
      <c r="D855" s="6" t="s">
        <v>2</v>
      </c>
      <c r="E855" s="3" t="s">
        <v>1406</v>
      </c>
      <c r="F855" s="4" t="s">
        <v>67</v>
      </c>
      <c r="G855" s="3" t="s">
        <v>1407</v>
      </c>
      <c r="H855" s="3"/>
      <c r="I855" s="3" t="s">
        <v>159</v>
      </c>
      <c r="J855" s="3" t="s">
        <v>61</v>
      </c>
      <c r="K855" s="3">
        <v>67301</v>
      </c>
      <c r="L855" s="3" t="s">
        <v>220</v>
      </c>
      <c r="M855" s="3"/>
      <c r="N855" s="3" t="s">
        <v>1408</v>
      </c>
      <c r="O855" s="3" t="s">
        <v>1409</v>
      </c>
      <c r="P855" s="3" t="s">
        <v>1410</v>
      </c>
      <c r="Q855" s="3" t="s">
        <v>67</v>
      </c>
      <c r="R855" s="3"/>
      <c r="S855" s="3" t="str">
        <f>"Oct 21-29"</f>
        <v>Oct 21-29</v>
      </c>
    </row>
    <row r="856" spans="1:19" ht="39" x14ac:dyDescent="0.25">
      <c r="A856" s="1">
        <v>40850</v>
      </c>
      <c r="B856" s="1">
        <v>40858</v>
      </c>
      <c r="C856" s="2">
        <f t="shared" si="35"/>
        <v>9</v>
      </c>
      <c r="D856" s="6" t="s">
        <v>1694</v>
      </c>
      <c r="E856" s="3" t="s">
        <v>1695</v>
      </c>
      <c r="F856" s="4" t="s">
        <v>67</v>
      </c>
      <c r="G856" s="3" t="s">
        <v>1696</v>
      </c>
      <c r="H856" s="3"/>
      <c r="I856" s="3" t="s">
        <v>261</v>
      </c>
      <c r="J856" s="3" t="s">
        <v>61</v>
      </c>
      <c r="K856" s="3">
        <v>67042</v>
      </c>
      <c r="L856" s="3" t="s">
        <v>1697</v>
      </c>
      <c r="M856" s="3"/>
      <c r="N856" s="3"/>
      <c r="O856" s="3" t="s">
        <v>1698</v>
      </c>
      <c r="P856" s="3" t="s">
        <v>1699</v>
      </c>
      <c r="Q856" s="3" t="s">
        <v>67</v>
      </c>
      <c r="R856" s="3"/>
      <c r="S856" s="3" t="str">
        <f>"Nov 3-11"</f>
        <v>Nov 3-11</v>
      </c>
    </row>
    <row r="857" spans="1:19" ht="26.25" x14ac:dyDescent="0.25">
      <c r="A857" s="1">
        <v>41104</v>
      </c>
      <c r="B857" s="1">
        <v>41112</v>
      </c>
      <c r="C857" s="2">
        <f t="shared" si="35"/>
        <v>9</v>
      </c>
      <c r="D857" s="6" t="s">
        <v>3656</v>
      </c>
      <c r="E857" s="3" t="s">
        <v>3657</v>
      </c>
      <c r="F857" s="4" t="s">
        <v>67</v>
      </c>
      <c r="G857" s="3" t="s">
        <v>3658</v>
      </c>
      <c r="H857" s="3" t="s">
        <v>3659</v>
      </c>
      <c r="I857" s="3" t="s">
        <v>865</v>
      </c>
      <c r="J857" s="3" t="s">
        <v>61</v>
      </c>
      <c r="K857" s="3">
        <v>67601</v>
      </c>
      <c r="L857" s="3" t="s">
        <v>3660</v>
      </c>
      <c r="M857" s="3"/>
      <c r="N857" s="3"/>
      <c r="O857" s="3" t="s">
        <v>3661</v>
      </c>
      <c r="P857" s="3" t="s">
        <v>3662</v>
      </c>
      <c r="Q857" s="3" t="s">
        <v>67</v>
      </c>
      <c r="R857" s="3"/>
      <c r="S857" s="3" t="str">
        <f>"Jul 14-22"</f>
        <v>Jul 14-22</v>
      </c>
    </row>
    <row r="858" spans="1:19" x14ac:dyDescent="0.25">
      <c r="A858" s="1">
        <v>40838</v>
      </c>
      <c r="B858" s="1">
        <v>40845</v>
      </c>
      <c r="C858" s="2">
        <f t="shared" si="35"/>
        <v>8</v>
      </c>
      <c r="D858" s="6" t="s">
        <v>1464</v>
      </c>
      <c r="E858" s="3" t="s">
        <v>1465</v>
      </c>
      <c r="F858" s="4" t="s">
        <v>67</v>
      </c>
      <c r="G858" s="3" t="s">
        <v>1466</v>
      </c>
      <c r="H858" s="3"/>
      <c r="I858" s="3" t="s">
        <v>236</v>
      </c>
      <c r="J858" s="3" t="s">
        <v>61</v>
      </c>
      <c r="K858" s="3">
        <v>67005</v>
      </c>
      <c r="L858" s="3" t="s">
        <v>1467</v>
      </c>
      <c r="M858" s="3"/>
      <c r="N858" s="3"/>
      <c r="O858" s="3" t="s">
        <v>239</v>
      </c>
      <c r="P858" s="3" t="s">
        <v>240</v>
      </c>
      <c r="Q858" s="3" t="s">
        <v>67</v>
      </c>
      <c r="R858" s="3"/>
      <c r="S858" s="3" t="str">
        <f>"Oct 22-29"</f>
        <v>Oct 22-29</v>
      </c>
    </row>
    <row r="859" spans="1:19" ht="39" x14ac:dyDescent="0.25">
      <c r="A859" s="1">
        <v>40851</v>
      </c>
      <c r="B859" s="1">
        <v>40858</v>
      </c>
      <c r="C859" s="2">
        <f t="shared" si="35"/>
        <v>8</v>
      </c>
      <c r="D859" s="6" t="s">
        <v>1708</v>
      </c>
      <c r="E859" s="3" t="s">
        <v>1709</v>
      </c>
      <c r="F859" s="4" t="s">
        <v>67</v>
      </c>
      <c r="G859" s="3" t="s">
        <v>1710</v>
      </c>
      <c r="H859" s="3" t="s">
        <v>1711</v>
      </c>
      <c r="I859" s="3" t="s">
        <v>91</v>
      </c>
      <c r="J859" s="3" t="s">
        <v>61</v>
      </c>
      <c r="K859" s="3">
        <v>66801</v>
      </c>
      <c r="L859" s="3" t="s">
        <v>1712</v>
      </c>
      <c r="M859" s="3" t="s">
        <v>1713</v>
      </c>
      <c r="N859" s="3" t="s">
        <v>1714</v>
      </c>
      <c r="O859" s="3" t="s">
        <v>1715</v>
      </c>
      <c r="P859" s="3" t="s">
        <v>1716</v>
      </c>
      <c r="Q859" s="3" t="s">
        <v>67</v>
      </c>
      <c r="R859" s="3"/>
      <c r="S859" s="3" t="str">
        <f>"Nov 4-11"</f>
        <v>Nov 4-11</v>
      </c>
    </row>
    <row r="860" spans="1:19" ht="39" x14ac:dyDescent="0.25">
      <c r="A860" s="1">
        <v>41000</v>
      </c>
      <c r="B860" s="1">
        <v>41007</v>
      </c>
      <c r="C860" s="2">
        <f t="shared" si="35"/>
        <v>8</v>
      </c>
      <c r="D860" s="6" t="s">
        <v>3036</v>
      </c>
      <c r="E860" s="3" t="s">
        <v>3037</v>
      </c>
      <c r="F860" s="4" t="s">
        <v>67</v>
      </c>
      <c r="G860" s="3" t="s">
        <v>3038</v>
      </c>
      <c r="H860" s="3"/>
      <c r="I860" s="3" t="s">
        <v>978</v>
      </c>
      <c r="J860" s="3" t="s">
        <v>61</v>
      </c>
      <c r="K860" s="3">
        <v>67456</v>
      </c>
      <c r="L860" s="3" t="s">
        <v>979</v>
      </c>
      <c r="M860" s="3" t="s">
        <v>980</v>
      </c>
      <c r="N860" s="3"/>
      <c r="O860" s="3" t="s">
        <v>981</v>
      </c>
      <c r="P860" s="3" t="s">
        <v>982</v>
      </c>
      <c r="Q860" s="3" t="s">
        <v>67</v>
      </c>
      <c r="R860" s="3" t="s">
        <v>67</v>
      </c>
      <c r="S860" s="3" t="str">
        <f>"Apr 1-8"</f>
        <v>Apr 1-8</v>
      </c>
    </row>
    <row r="861" spans="1:19" s="34" customFormat="1" ht="26.25" x14ac:dyDescent="0.25">
      <c r="A861" s="30">
        <v>41104</v>
      </c>
      <c r="B861" s="30">
        <v>41111</v>
      </c>
      <c r="C861" s="31">
        <f t="shared" si="35"/>
        <v>8</v>
      </c>
      <c r="D861" s="32" t="s">
        <v>3652</v>
      </c>
      <c r="E861" s="33" t="s">
        <v>3653</v>
      </c>
      <c r="F861" s="4" t="s">
        <v>67</v>
      </c>
      <c r="G861" s="33" t="s">
        <v>2041</v>
      </c>
      <c r="H861" s="33"/>
      <c r="I861" s="33" t="s">
        <v>558</v>
      </c>
      <c r="J861" s="33" t="s">
        <v>61</v>
      </c>
      <c r="K861" s="33">
        <v>67880</v>
      </c>
      <c r="L861" s="33" t="s">
        <v>3654</v>
      </c>
      <c r="M861" s="33"/>
      <c r="N861" s="33"/>
      <c r="O861" s="33" t="s">
        <v>3058</v>
      </c>
      <c r="P861" s="33" t="s">
        <v>3655</v>
      </c>
      <c r="Q861" s="33" t="s">
        <v>67</v>
      </c>
      <c r="R861" s="33"/>
      <c r="S861" s="33" t="str">
        <f>"Jul 14-21"</f>
        <v>Jul 14-21</v>
      </c>
    </row>
    <row r="862" spans="1:19" s="34" customFormat="1" x14ac:dyDescent="0.25">
      <c r="A862" s="35">
        <v>41119</v>
      </c>
      <c r="B862" s="35">
        <v>41126</v>
      </c>
      <c r="C862" s="36">
        <f t="shared" si="35"/>
        <v>8</v>
      </c>
      <c r="D862" s="37" t="s">
        <v>3748</v>
      </c>
      <c r="E862" s="38" t="s">
        <v>3749</v>
      </c>
      <c r="F862" s="5" t="s">
        <v>67</v>
      </c>
      <c r="G862" s="38" t="s">
        <v>3750</v>
      </c>
      <c r="H862" s="38" t="s">
        <v>882</v>
      </c>
      <c r="I862" s="38" t="s">
        <v>105</v>
      </c>
      <c r="J862" s="38" t="s">
        <v>61</v>
      </c>
      <c r="K862" s="38">
        <v>66046</v>
      </c>
      <c r="L862" s="38" t="s">
        <v>3733</v>
      </c>
      <c r="M862" s="38"/>
      <c r="N862" s="38"/>
      <c r="O862" s="38" t="s">
        <v>3751</v>
      </c>
      <c r="P862" s="38" t="s">
        <v>3752</v>
      </c>
      <c r="Q862" s="38" t="s">
        <v>67</v>
      </c>
      <c r="R862" s="38"/>
      <c r="S862" s="38" t="str">
        <f>"Jul 29-Aug 5"</f>
        <v>Jul 29-Aug 5</v>
      </c>
    </row>
    <row r="863" spans="1:19" ht="39" x14ac:dyDescent="0.25">
      <c r="A863" s="13">
        <v>40852</v>
      </c>
      <c r="B863" s="13">
        <v>40858</v>
      </c>
      <c r="C863" s="21">
        <f t="shared" si="35"/>
        <v>7</v>
      </c>
      <c r="D863" s="22" t="s">
        <v>1810</v>
      </c>
      <c r="E863" s="9" t="s">
        <v>1811</v>
      </c>
      <c r="F863" s="5" t="s">
        <v>67</v>
      </c>
      <c r="G863" s="9" t="s">
        <v>1812</v>
      </c>
      <c r="H863" s="9"/>
      <c r="I863" s="9" t="s">
        <v>77</v>
      </c>
      <c r="J863" s="9" t="s">
        <v>61</v>
      </c>
      <c r="K863" s="9">
        <v>66067</v>
      </c>
      <c r="L863" s="9" t="s">
        <v>1813</v>
      </c>
      <c r="M863" s="9"/>
      <c r="N863" s="9"/>
      <c r="O863" s="9" t="s">
        <v>1814</v>
      </c>
      <c r="P863" s="9" t="s">
        <v>1815</v>
      </c>
      <c r="Q863" s="9"/>
      <c r="R863" s="9"/>
      <c r="S863" s="9" t="str">
        <f>"Nov 5-11"</f>
        <v>Nov 5-11</v>
      </c>
    </row>
    <row r="864" spans="1:19" ht="26.25" x14ac:dyDescent="0.25">
      <c r="A864" s="1">
        <v>40812</v>
      </c>
      <c r="B864" s="1">
        <v>40817</v>
      </c>
      <c r="C864" s="2">
        <f t="shared" si="35"/>
        <v>6</v>
      </c>
      <c r="D864" s="6" t="s">
        <v>404</v>
      </c>
      <c r="E864" s="3" t="s">
        <v>405</v>
      </c>
      <c r="F864" s="4" t="s">
        <v>67</v>
      </c>
      <c r="G864" s="3" t="s">
        <v>406</v>
      </c>
      <c r="H864" s="3"/>
      <c r="I864" s="3" t="s">
        <v>407</v>
      </c>
      <c r="J864" s="3" t="s">
        <v>61</v>
      </c>
      <c r="K864" s="3">
        <v>67010</v>
      </c>
      <c r="L864" s="3" t="s">
        <v>408</v>
      </c>
      <c r="M864" s="3"/>
      <c r="N864" s="3" t="s">
        <v>409</v>
      </c>
      <c r="O864" s="3" t="s">
        <v>410</v>
      </c>
      <c r="P864" s="3" t="s">
        <v>411</v>
      </c>
      <c r="Q864" s="3" t="s">
        <v>67</v>
      </c>
      <c r="R864" s="3" t="s">
        <v>67</v>
      </c>
      <c r="S864" s="3" t="str">
        <f>"Sep 26-Oct 1"</f>
        <v>Sep 26-Oct 1</v>
      </c>
    </row>
    <row r="865" spans="1:19" ht="39" x14ac:dyDescent="0.25">
      <c r="A865" s="1">
        <v>41067</v>
      </c>
      <c r="B865" s="1">
        <v>41072</v>
      </c>
      <c r="C865" s="2">
        <f t="shared" si="35"/>
        <v>6</v>
      </c>
      <c r="D865" s="6" t="s">
        <v>3387</v>
      </c>
      <c r="E865" s="3" t="s">
        <v>3388</v>
      </c>
      <c r="F865" s="4" t="s">
        <v>67</v>
      </c>
      <c r="G865" s="3" t="s">
        <v>3389</v>
      </c>
      <c r="H865" s="3"/>
      <c r="I865" s="3" t="s">
        <v>2649</v>
      </c>
      <c r="J865" s="3" t="s">
        <v>61</v>
      </c>
      <c r="K865" s="3">
        <v>67846</v>
      </c>
      <c r="L865" s="3" t="s">
        <v>3390</v>
      </c>
      <c r="M865" s="3" t="s">
        <v>3391</v>
      </c>
      <c r="N865" s="3" t="s">
        <v>3392</v>
      </c>
      <c r="O865" s="3" t="s">
        <v>3393</v>
      </c>
      <c r="P865" s="3" t="s">
        <v>3394</v>
      </c>
      <c r="Q865" s="3"/>
      <c r="R865" s="3"/>
      <c r="S865" s="3" t="str">
        <f>"Jun 7-12"</f>
        <v>Jun 7-12</v>
      </c>
    </row>
    <row r="866" spans="1:19" ht="39" x14ac:dyDescent="0.25">
      <c r="A866" s="1">
        <v>41134</v>
      </c>
      <c r="B866" s="1">
        <v>41139</v>
      </c>
      <c r="C866" s="2">
        <f t="shared" si="35"/>
        <v>6</v>
      </c>
      <c r="D866" s="6" t="s">
        <v>3810</v>
      </c>
      <c r="E866" s="3" t="s">
        <v>3811</v>
      </c>
      <c r="F866" s="4" t="s">
        <v>67</v>
      </c>
      <c r="G866" s="3" t="s">
        <v>3812</v>
      </c>
      <c r="H866" s="3"/>
      <c r="I866" s="3" t="s">
        <v>3458</v>
      </c>
      <c r="J866" s="3" t="s">
        <v>61</v>
      </c>
      <c r="K866" s="3">
        <v>67669</v>
      </c>
      <c r="L866" s="3" t="s">
        <v>3813</v>
      </c>
      <c r="M866" s="3"/>
      <c r="N866" s="3"/>
      <c r="O866" s="3" t="s">
        <v>3814</v>
      </c>
      <c r="P866" s="3" t="s">
        <v>3815</v>
      </c>
      <c r="Q866" s="3" t="s">
        <v>67</v>
      </c>
      <c r="R866" s="3"/>
      <c r="S866" s="3" t="str">
        <f>"Aug 13-18"</f>
        <v>Aug 13-18</v>
      </c>
    </row>
    <row r="867" spans="1:19" ht="39" x14ac:dyDescent="0.25">
      <c r="A867" s="1">
        <v>41090</v>
      </c>
      <c r="B867" s="1">
        <v>41094</v>
      </c>
      <c r="C867" s="2">
        <f t="shared" si="35"/>
        <v>5</v>
      </c>
      <c r="D867" s="6" t="s">
        <v>3534</v>
      </c>
      <c r="E867" s="3" t="s">
        <v>3535</v>
      </c>
      <c r="F867" s="4" t="s">
        <v>67</v>
      </c>
      <c r="G867" s="3" t="s">
        <v>3536</v>
      </c>
      <c r="H867" s="3" t="s">
        <v>3537</v>
      </c>
      <c r="I867" s="3" t="s">
        <v>865</v>
      </c>
      <c r="J867" s="3" t="s">
        <v>61</v>
      </c>
      <c r="K867" s="3">
        <v>67601</v>
      </c>
      <c r="L867" s="3" t="s">
        <v>3538</v>
      </c>
      <c r="M867" s="3"/>
      <c r="N867" s="3"/>
      <c r="O867" s="3" t="s">
        <v>3539</v>
      </c>
      <c r="P867" s="3" t="s">
        <v>3540</v>
      </c>
      <c r="Q867" s="3" t="s">
        <v>67</v>
      </c>
      <c r="R867" s="3" t="s">
        <v>67</v>
      </c>
      <c r="S867" s="3" t="str">
        <f>"Jun 30-Jul 4"</f>
        <v>Jun 30-Jul 4</v>
      </c>
    </row>
    <row r="868" spans="1:19" ht="39" x14ac:dyDescent="0.25">
      <c r="A868" s="1">
        <v>41116</v>
      </c>
      <c r="B868" s="1">
        <v>41120</v>
      </c>
      <c r="C868" s="2">
        <f t="shared" si="35"/>
        <v>5</v>
      </c>
      <c r="D868" s="6" t="s">
        <v>3720</v>
      </c>
      <c r="E868" s="3" t="s">
        <v>3721</v>
      </c>
      <c r="F868" s="4" t="s">
        <v>67</v>
      </c>
      <c r="G868" s="3" t="s">
        <v>3722</v>
      </c>
      <c r="H868" s="3" t="s">
        <v>3616</v>
      </c>
      <c r="I868" s="3" t="s">
        <v>303</v>
      </c>
      <c r="J868" s="3" t="s">
        <v>61</v>
      </c>
      <c r="K868" s="3">
        <v>66503</v>
      </c>
      <c r="L868" s="3" t="s">
        <v>3723</v>
      </c>
      <c r="M868" s="3"/>
      <c r="N868" s="3"/>
      <c r="O868" s="3" t="s">
        <v>3724</v>
      </c>
      <c r="P868" s="3" t="s">
        <v>3725</v>
      </c>
      <c r="Q868" s="3" t="s">
        <v>67</v>
      </c>
      <c r="R868" s="3"/>
      <c r="S868" s="3" t="str">
        <f>"Jul 26-30"</f>
        <v>Jul 26-30</v>
      </c>
    </row>
    <row r="869" spans="1:19" ht="39" x14ac:dyDescent="0.25">
      <c r="A869" s="1">
        <v>41121</v>
      </c>
      <c r="B869" s="1">
        <v>41125</v>
      </c>
      <c r="C869" s="2">
        <f t="shared" si="35"/>
        <v>5</v>
      </c>
      <c r="D869" s="6" t="s">
        <v>3753</v>
      </c>
      <c r="E869" s="3" t="s">
        <v>3754</v>
      </c>
      <c r="F869" s="4" t="s">
        <v>67</v>
      </c>
      <c r="G869" s="3" t="s">
        <v>3755</v>
      </c>
      <c r="H869" s="3" t="s">
        <v>3629</v>
      </c>
      <c r="I869" s="3" t="s">
        <v>1247</v>
      </c>
      <c r="J869" s="3" t="s">
        <v>61</v>
      </c>
      <c r="K869" s="3">
        <v>66935</v>
      </c>
      <c r="L869" s="3" t="s">
        <v>3756</v>
      </c>
      <c r="M869" s="3" t="s">
        <v>3757</v>
      </c>
      <c r="N869" s="3"/>
      <c r="O869" s="3"/>
      <c r="P869" s="3"/>
      <c r="Q869" s="3" t="s">
        <v>67</v>
      </c>
      <c r="R869" s="3"/>
      <c r="S869" s="3" t="str">
        <f>"Jul 31-Aug 4"</f>
        <v>Jul 31-Aug 4</v>
      </c>
    </row>
    <row r="870" spans="1:19" ht="26.25" x14ac:dyDescent="0.25">
      <c r="A870" s="1">
        <v>41128</v>
      </c>
      <c r="B870" s="1">
        <v>41132</v>
      </c>
      <c r="C870" s="2">
        <f t="shared" si="35"/>
        <v>5</v>
      </c>
      <c r="D870" s="6" t="s">
        <v>3797</v>
      </c>
      <c r="E870" s="3" t="s">
        <v>3798</v>
      </c>
      <c r="F870" s="4" t="s">
        <v>67</v>
      </c>
      <c r="G870" s="3" t="s">
        <v>3799</v>
      </c>
      <c r="H870" s="3"/>
      <c r="I870" s="3" t="s">
        <v>3800</v>
      </c>
      <c r="J870" s="3" t="s">
        <v>61</v>
      </c>
      <c r="K870" s="3">
        <v>66023</v>
      </c>
      <c r="L870" s="3" t="s">
        <v>3801</v>
      </c>
      <c r="M870" s="3"/>
      <c r="N870" s="3"/>
      <c r="O870" s="3" t="s">
        <v>3802</v>
      </c>
      <c r="P870" s="3"/>
      <c r="Q870" s="3"/>
      <c r="R870" s="3"/>
      <c r="S870" s="3" t="str">
        <f>"Aug 7-11"</f>
        <v>Aug 7-11</v>
      </c>
    </row>
    <row r="871" spans="1:19" ht="39" x14ac:dyDescent="0.25">
      <c r="A871" s="1">
        <v>41128</v>
      </c>
      <c r="B871" s="1">
        <v>41132</v>
      </c>
      <c r="C871" s="2">
        <f t="shared" si="35"/>
        <v>5</v>
      </c>
      <c r="D871" s="6" t="s">
        <v>3803</v>
      </c>
      <c r="E871" s="3" t="s">
        <v>3804</v>
      </c>
      <c r="F871" s="4" t="s">
        <v>67</v>
      </c>
      <c r="G871" s="3" t="s">
        <v>3805</v>
      </c>
      <c r="H871" s="3" t="s">
        <v>3311</v>
      </c>
      <c r="I871" s="3" t="s">
        <v>2951</v>
      </c>
      <c r="J871" s="3" t="s">
        <v>61</v>
      </c>
      <c r="K871" s="3">
        <v>66086</v>
      </c>
      <c r="L871" s="3" t="s">
        <v>3806</v>
      </c>
      <c r="M871" s="3" t="s">
        <v>1889</v>
      </c>
      <c r="N871" s="3"/>
      <c r="O871" s="3" t="s">
        <v>3807</v>
      </c>
      <c r="P871" s="3" t="s">
        <v>3808</v>
      </c>
      <c r="Q871" s="3" t="s">
        <v>67</v>
      </c>
      <c r="R871" s="3"/>
      <c r="S871" s="3" t="str">
        <f>"Aug 7-11"</f>
        <v>Aug 7-11</v>
      </c>
    </row>
    <row r="872" spans="1:19" ht="39" x14ac:dyDescent="0.25">
      <c r="A872" s="1">
        <v>41164</v>
      </c>
      <c r="B872" s="1">
        <v>41168</v>
      </c>
      <c r="C872" s="2">
        <f t="shared" si="35"/>
        <v>5</v>
      </c>
      <c r="D872" s="6" t="s">
        <v>3935</v>
      </c>
      <c r="E872" s="3" t="s">
        <v>3936</v>
      </c>
      <c r="F872" s="4" t="s">
        <v>67</v>
      </c>
      <c r="G872" s="3" t="s">
        <v>565</v>
      </c>
      <c r="H872" s="3"/>
      <c r="I872" s="3" t="s">
        <v>505</v>
      </c>
      <c r="J872" s="3" t="s">
        <v>61</v>
      </c>
      <c r="K872" s="3">
        <v>67156</v>
      </c>
      <c r="L872" s="3" t="s">
        <v>3889</v>
      </c>
      <c r="M872" s="3"/>
      <c r="N872" s="3"/>
      <c r="O872" s="3"/>
      <c r="P872" s="3" t="s">
        <v>3890</v>
      </c>
      <c r="Q872" s="3" t="s">
        <v>67</v>
      </c>
      <c r="R872" s="3" t="s">
        <v>67</v>
      </c>
      <c r="S872" s="3" t="str">
        <f>"Sep 12-16"</f>
        <v>Sep 12-16</v>
      </c>
    </row>
    <row r="873" spans="1:19" ht="39" x14ac:dyDescent="0.25">
      <c r="A873" s="1">
        <v>40957</v>
      </c>
      <c r="B873" s="1">
        <v>40960</v>
      </c>
      <c r="C873" s="2">
        <f t="shared" si="35"/>
        <v>4</v>
      </c>
      <c r="D873" s="6" t="s">
        <v>2874</v>
      </c>
      <c r="E873" s="3" t="s">
        <v>2875</v>
      </c>
      <c r="F873" s="4" t="s">
        <v>67</v>
      </c>
      <c r="G873" s="3" t="s">
        <v>2876</v>
      </c>
      <c r="H873" s="3" t="s">
        <v>2877</v>
      </c>
      <c r="I873" s="3" t="s">
        <v>1021</v>
      </c>
      <c r="J873" s="3" t="s">
        <v>61</v>
      </c>
      <c r="K873" s="3">
        <v>67901</v>
      </c>
      <c r="L873" s="3" t="s">
        <v>2878</v>
      </c>
      <c r="M873" s="3" t="s">
        <v>2879</v>
      </c>
      <c r="N873" s="3" t="s">
        <v>2880</v>
      </c>
      <c r="O873" s="3" t="s">
        <v>2881</v>
      </c>
      <c r="P873" s="3" t="s">
        <v>2882</v>
      </c>
      <c r="Q873" s="3" t="s">
        <v>67</v>
      </c>
      <c r="R873" s="3"/>
      <c r="S873" s="3" t="str">
        <f>"Feb 18-21"</f>
        <v>Feb 18-21</v>
      </c>
    </row>
    <row r="874" spans="1:19" ht="26.25" x14ac:dyDescent="0.25">
      <c r="A874" s="1">
        <v>41081</v>
      </c>
      <c r="B874" s="1">
        <v>41084</v>
      </c>
      <c r="C874" s="2">
        <f t="shared" si="35"/>
        <v>4</v>
      </c>
      <c r="D874" s="6" t="s">
        <v>3485</v>
      </c>
      <c r="E874" s="3" t="s">
        <v>3486</v>
      </c>
      <c r="F874" s="4" t="s">
        <v>67</v>
      </c>
      <c r="G874" s="3" t="s">
        <v>3487</v>
      </c>
      <c r="H874" s="3"/>
      <c r="I874" s="3" t="s">
        <v>303</v>
      </c>
      <c r="J874" s="3" t="s">
        <v>61</v>
      </c>
      <c r="K874" s="3">
        <v>66502</v>
      </c>
      <c r="L874" s="3" t="s">
        <v>3488</v>
      </c>
      <c r="M874" s="3" t="s">
        <v>3489</v>
      </c>
      <c r="N874" s="3"/>
      <c r="O874" s="3" t="s">
        <v>3490</v>
      </c>
      <c r="P874" s="3" t="s">
        <v>3491</v>
      </c>
      <c r="Q874" s="3" t="s">
        <v>67</v>
      </c>
      <c r="R874" s="3" t="s">
        <v>67</v>
      </c>
      <c r="S874" s="3" t="str">
        <f>"Jun 21-24"</f>
        <v>Jun 21-24</v>
      </c>
    </row>
    <row r="875" spans="1:19" ht="26.25" x14ac:dyDescent="0.25">
      <c r="A875" s="1">
        <v>41108</v>
      </c>
      <c r="B875" s="1">
        <v>41111</v>
      </c>
      <c r="C875" s="2">
        <f t="shared" si="35"/>
        <v>4</v>
      </c>
      <c r="D875" s="6" t="s">
        <v>3669</v>
      </c>
      <c r="E875" s="3" t="s">
        <v>3670</v>
      </c>
      <c r="F875" s="4" t="s">
        <v>67</v>
      </c>
      <c r="G875" s="3" t="s">
        <v>3671</v>
      </c>
      <c r="H875" s="3" t="s">
        <v>3672</v>
      </c>
      <c r="I875" s="3" t="s">
        <v>963</v>
      </c>
      <c r="J875" s="3" t="s">
        <v>61</v>
      </c>
      <c r="K875" s="3">
        <v>67550</v>
      </c>
      <c r="L875" s="3" t="s">
        <v>3673</v>
      </c>
      <c r="M875" s="3"/>
      <c r="N875" s="3"/>
      <c r="O875" s="3" t="s">
        <v>3674</v>
      </c>
      <c r="P875" s="3" t="s">
        <v>3675</v>
      </c>
      <c r="Q875" s="3" t="s">
        <v>67</v>
      </c>
      <c r="R875" s="3"/>
      <c r="S875" s="3" t="str">
        <f>"Jul 18-21"</f>
        <v>Jul 18-21</v>
      </c>
    </row>
    <row r="876" spans="1:19" ht="39" x14ac:dyDescent="0.25">
      <c r="A876" s="1">
        <v>41115</v>
      </c>
      <c r="B876" s="1">
        <v>41118</v>
      </c>
      <c r="C876" s="2">
        <f t="shared" si="35"/>
        <v>4</v>
      </c>
      <c r="D876" s="6" t="s">
        <v>3710</v>
      </c>
      <c r="E876" s="3" t="s">
        <v>3711</v>
      </c>
      <c r="F876" s="4" t="s">
        <v>67</v>
      </c>
      <c r="G876" s="3" t="s">
        <v>3712</v>
      </c>
      <c r="H876" s="3"/>
      <c r="I876" s="3" t="s">
        <v>3713</v>
      </c>
      <c r="J876" s="3" t="s">
        <v>61</v>
      </c>
      <c r="K876" s="3">
        <v>67861</v>
      </c>
      <c r="L876" s="3" t="s">
        <v>3714</v>
      </c>
      <c r="M876" s="3"/>
      <c r="N876" s="3"/>
      <c r="O876" s="3"/>
      <c r="P876" s="3" t="s">
        <v>3715</v>
      </c>
      <c r="Q876" s="3"/>
      <c r="R876" s="3"/>
      <c r="S876" s="3" t="str">
        <f>"Jul 25-28"</f>
        <v>Jul 25-28</v>
      </c>
    </row>
    <row r="877" spans="1:19" x14ac:dyDescent="0.25">
      <c r="A877" s="1">
        <v>41124</v>
      </c>
      <c r="B877" s="1">
        <v>41127</v>
      </c>
      <c r="C877" s="2">
        <f t="shared" si="35"/>
        <v>4</v>
      </c>
      <c r="D877" s="6" t="s">
        <v>3771</v>
      </c>
      <c r="E877" s="3" t="s">
        <v>3772</v>
      </c>
      <c r="F877" s="4" t="s">
        <v>67</v>
      </c>
      <c r="G877" s="3" t="s">
        <v>3629</v>
      </c>
      <c r="H877" s="3" t="s">
        <v>3773</v>
      </c>
      <c r="I877" s="3" t="s">
        <v>3774</v>
      </c>
      <c r="J877" s="3" t="s">
        <v>61</v>
      </c>
      <c r="K877" s="3">
        <v>67481</v>
      </c>
      <c r="L877" s="3" t="s">
        <v>3775</v>
      </c>
      <c r="M877" s="3"/>
      <c r="N877" s="3"/>
      <c r="O877" s="3"/>
      <c r="P877" s="3"/>
      <c r="Q877" s="3"/>
      <c r="R877" s="3"/>
      <c r="S877" s="3" t="str">
        <f>"Aug 3-6"</f>
        <v>Aug 3-6</v>
      </c>
    </row>
    <row r="878" spans="1:19" ht="39" x14ac:dyDescent="0.25">
      <c r="A878" s="1">
        <v>41152</v>
      </c>
      <c r="B878" s="1">
        <v>41155</v>
      </c>
      <c r="C878" s="2">
        <f t="shared" si="35"/>
        <v>4</v>
      </c>
      <c r="D878" s="6" t="s">
        <v>3858</v>
      </c>
      <c r="E878" s="3" t="s">
        <v>3859</v>
      </c>
      <c r="F878" s="4" t="s">
        <v>67</v>
      </c>
      <c r="G878" s="3" t="s">
        <v>3860</v>
      </c>
      <c r="H878" s="3"/>
      <c r="I878" s="3" t="s">
        <v>3360</v>
      </c>
      <c r="J878" s="3" t="s">
        <v>61</v>
      </c>
      <c r="K878" s="3">
        <v>67544</v>
      </c>
      <c r="L878" s="3" t="s">
        <v>3361</v>
      </c>
      <c r="M878" s="3"/>
      <c r="N878" s="3" t="s">
        <v>3361</v>
      </c>
      <c r="O878" s="3" t="s">
        <v>3362</v>
      </c>
      <c r="P878" s="3" t="s">
        <v>3363</v>
      </c>
      <c r="Q878" s="3" t="s">
        <v>67</v>
      </c>
      <c r="R878" s="3" t="s">
        <v>67</v>
      </c>
      <c r="S878" s="3" t="str">
        <f>"Aug 31-Sep 3"</f>
        <v>Aug 31-Sep 3</v>
      </c>
    </row>
    <row r="879" spans="1:19" ht="26.25" x14ac:dyDescent="0.25">
      <c r="A879" s="1">
        <v>41153</v>
      </c>
      <c r="B879" s="1">
        <v>41156</v>
      </c>
      <c r="C879" s="2">
        <f t="shared" si="35"/>
        <v>4</v>
      </c>
      <c r="D879" s="6" t="s">
        <v>3872</v>
      </c>
      <c r="E879" s="3" t="s">
        <v>3873</v>
      </c>
      <c r="F879" s="4" t="s">
        <v>67</v>
      </c>
      <c r="G879" s="3" t="s">
        <v>3874</v>
      </c>
      <c r="H879" s="3"/>
      <c r="I879" s="3" t="s">
        <v>3875</v>
      </c>
      <c r="J879" s="3" t="s">
        <v>61</v>
      </c>
      <c r="K879" s="3">
        <v>66938</v>
      </c>
      <c r="L879" s="3" t="s">
        <v>572</v>
      </c>
      <c r="M879" s="3"/>
      <c r="N879" s="3"/>
      <c r="O879" s="3"/>
      <c r="P879" s="3"/>
      <c r="Q879" s="3"/>
      <c r="R879" s="3"/>
      <c r="S879" s="3" t="str">
        <f>"Sep 1-4"</f>
        <v>Sep 1-4</v>
      </c>
    </row>
    <row r="880" spans="1:19" ht="39" x14ac:dyDescent="0.25">
      <c r="A880" s="1">
        <v>40815</v>
      </c>
      <c r="B880" s="1">
        <v>40817</v>
      </c>
      <c r="C880" s="2">
        <f t="shared" si="35"/>
        <v>3</v>
      </c>
      <c r="D880" s="6" t="s">
        <v>412</v>
      </c>
      <c r="E880" s="3" t="s">
        <v>413</v>
      </c>
      <c r="F880" s="4" t="s">
        <v>67</v>
      </c>
      <c r="G880" s="3" t="s">
        <v>414</v>
      </c>
      <c r="H880" s="3"/>
      <c r="I880" s="3" t="s">
        <v>415</v>
      </c>
      <c r="J880" s="3" t="s">
        <v>61</v>
      </c>
      <c r="K880" s="3">
        <v>66039</v>
      </c>
      <c r="L880" s="3" t="s">
        <v>416</v>
      </c>
      <c r="M880" s="3"/>
      <c r="N880" s="3"/>
      <c r="O880" s="3" t="s">
        <v>417</v>
      </c>
      <c r="P880" s="3" t="s">
        <v>418</v>
      </c>
      <c r="Q880" s="3"/>
      <c r="R880" s="3"/>
      <c r="S880" s="3" t="str">
        <f>"Sep 29-Oct 1"</f>
        <v>Sep 29-Oct 1</v>
      </c>
    </row>
    <row r="881" spans="1:19" ht="26.25" x14ac:dyDescent="0.25">
      <c r="A881" s="1">
        <v>40815</v>
      </c>
      <c r="B881" s="1">
        <v>40817</v>
      </c>
      <c r="C881" s="2">
        <f t="shared" si="35"/>
        <v>3</v>
      </c>
      <c r="D881" s="6" t="s">
        <v>419</v>
      </c>
      <c r="E881" s="3" t="s">
        <v>420</v>
      </c>
      <c r="F881" s="4" t="s">
        <v>67</v>
      </c>
      <c r="G881" s="3" t="s">
        <v>421</v>
      </c>
      <c r="H881" s="3"/>
      <c r="I881" s="3" t="s">
        <v>422</v>
      </c>
      <c r="J881" s="3" t="s">
        <v>61</v>
      </c>
      <c r="K881" s="3">
        <v>67002</v>
      </c>
      <c r="L881" s="3" t="s">
        <v>423</v>
      </c>
      <c r="M881" s="3"/>
      <c r="N881" s="3"/>
      <c r="O881" s="3" t="s">
        <v>424</v>
      </c>
      <c r="P881" s="3" t="s">
        <v>425</v>
      </c>
      <c r="Q881" s="3" t="s">
        <v>67</v>
      </c>
      <c r="R881" s="3"/>
      <c r="S881" s="3" t="str">
        <f>"Sep 29-Oct 1"</f>
        <v>Sep 29-Oct 1</v>
      </c>
    </row>
    <row r="882" spans="1:19" ht="39" x14ac:dyDescent="0.25">
      <c r="A882" s="1">
        <v>40823</v>
      </c>
      <c r="B882" s="1">
        <v>40825</v>
      </c>
      <c r="C882" s="2">
        <f t="shared" si="35"/>
        <v>3</v>
      </c>
      <c r="D882" s="6" t="s">
        <v>910</v>
      </c>
      <c r="E882" s="3" t="s">
        <v>911</v>
      </c>
      <c r="F882" s="4" t="s">
        <v>67</v>
      </c>
      <c r="G882" s="3" t="s">
        <v>912</v>
      </c>
      <c r="H882" s="3"/>
      <c r="I882" s="3" t="s">
        <v>913</v>
      </c>
      <c r="J882" s="3" t="s">
        <v>61</v>
      </c>
      <c r="K882" s="3">
        <v>66725</v>
      </c>
      <c r="L882" s="3" t="s">
        <v>914</v>
      </c>
      <c r="M882" s="3"/>
      <c r="N882" s="3"/>
      <c r="O882" s="3" t="s">
        <v>915</v>
      </c>
      <c r="P882" s="3" t="s">
        <v>916</v>
      </c>
      <c r="Q882" s="3" t="s">
        <v>67</v>
      </c>
      <c r="R882" s="3"/>
      <c r="S882" s="3" t="str">
        <f>"Oct 7-9"</f>
        <v>Oct 7-9</v>
      </c>
    </row>
    <row r="883" spans="1:19" ht="39" x14ac:dyDescent="0.25">
      <c r="A883" s="1">
        <v>40823</v>
      </c>
      <c r="B883" s="1">
        <v>40825</v>
      </c>
      <c r="C883" s="2">
        <f t="shared" si="35"/>
        <v>3</v>
      </c>
      <c r="D883" s="6" t="s">
        <v>917</v>
      </c>
      <c r="E883" s="3" t="s">
        <v>918</v>
      </c>
      <c r="F883" s="4" t="s">
        <v>67</v>
      </c>
      <c r="G883" s="3" t="s">
        <v>919</v>
      </c>
      <c r="H883" s="3"/>
      <c r="I883" s="3" t="s">
        <v>913</v>
      </c>
      <c r="J883" s="3" t="s">
        <v>61</v>
      </c>
      <c r="K883" s="3">
        <v>66725</v>
      </c>
      <c r="L883" s="3" t="s">
        <v>920</v>
      </c>
      <c r="M883" s="3"/>
      <c r="N883" s="3"/>
      <c r="O883" s="3" t="s">
        <v>921</v>
      </c>
      <c r="P883" s="3" t="s">
        <v>922</v>
      </c>
      <c r="Q883" s="3" t="s">
        <v>67</v>
      </c>
      <c r="R883" s="3"/>
      <c r="S883" s="3" t="str">
        <f>"Oct 7-9"</f>
        <v>Oct 7-9</v>
      </c>
    </row>
    <row r="884" spans="1:19" ht="26.25" x14ac:dyDescent="0.25">
      <c r="A884" s="1">
        <v>40823</v>
      </c>
      <c r="B884" s="1">
        <v>40825</v>
      </c>
      <c r="C884" s="2">
        <f t="shared" si="35"/>
        <v>3</v>
      </c>
      <c r="D884" s="6" t="s">
        <v>923</v>
      </c>
      <c r="E884" s="3" t="s">
        <v>924</v>
      </c>
      <c r="F884" s="4" t="s">
        <v>67</v>
      </c>
      <c r="G884" s="3" t="s">
        <v>925</v>
      </c>
      <c r="H884" s="3" t="s">
        <v>926</v>
      </c>
      <c r="I884" s="3" t="s">
        <v>927</v>
      </c>
      <c r="J884" s="3" t="s">
        <v>61</v>
      </c>
      <c r="K884" s="3">
        <v>67428</v>
      </c>
      <c r="L884" s="3" t="s">
        <v>928</v>
      </c>
      <c r="M884" s="3"/>
      <c r="N884" s="3" t="s">
        <v>928</v>
      </c>
      <c r="O884" s="3" t="s">
        <v>929</v>
      </c>
      <c r="P884" s="3" t="s">
        <v>930</v>
      </c>
      <c r="Q884" s="3" t="s">
        <v>67</v>
      </c>
      <c r="R884" s="3" t="s">
        <v>67</v>
      </c>
      <c r="S884" s="3" t="str">
        <f>"Oct 7-9"</f>
        <v>Oct 7-9</v>
      </c>
    </row>
    <row r="885" spans="1:19" ht="39" x14ac:dyDescent="0.25">
      <c r="A885" s="1">
        <v>40879</v>
      </c>
      <c r="B885" s="1">
        <v>40881</v>
      </c>
      <c r="C885" s="2">
        <f t="shared" si="35"/>
        <v>3</v>
      </c>
      <c r="D885" s="6" t="s">
        <v>2294</v>
      </c>
      <c r="E885" s="3" t="s">
        <v>2295</v>
      </c>
      <c r="F885" s="4" t="s">
        <v>67</v>
      </c>
      <c r="G885" s="3" t="s">
        <v>2296</v>
      </c>
      <c r="H885" s="3" t="s">
        <v>2297</v>
      </c>
      <c r="I885" s="3" t="s">
        <v>865</v>
      </c>
      <c r="J885" s="3" t="s">
        <v>61</v>
      </c>
      <c r="K885" s="3">
        <v>67601</v>
      </c>
      <c r="L885" s="3" t="s">
        <v>1146</v>
      </c>
      <c r="M885" s="3"/>
      <c r="N885" s="3" t="s">
        <v>868</v>
      </c>
      <c r="O885" s="3" t="s">
        <v>1147</v>
      </c>
      <c r="P885" s="3" t="s">
        <v>2298</v>
      </c>
      <c r="Q885" s="3" t="s">
        <v>67</v>
      </c>
      <c r="R885" s="3"/>
      <c r="S885" s="3" t="str">
        <f>"Dec 2-4"</f>
        <v>Dec 2-4</v>
      </c>
    </row>
    <row r="886" spans="1:19" ht="39" x14ac:dyDescent="0.25">
      <c r="A886" s="1">
        <v>41040</v>
      </c>
      <c r="B886" s="1">
        <v>41042</v>
      </c>
      <c r="C886" s="2">
        <f t="shared" si="35"/>
        <v>3</v>
      </c>
      <c r="D886" s="6" t="s">
        <v>3250</v>
      </c>
      <c r="E886" s="3" t="s">
        <v>3251</v>
      </c>
      <c r="F886" s="4" t="s">
        <v>67</v>
      </c>
      <c r="G886" s="3" t="s">
        <v>3252</v>
      </c>
      <c r="H886" s="3" t="s">
        <v>3253</v>
      </c>
      <c r="I886" s="3" t="s">
        <v>1727</v>
      </c>
      <c r="J886" s="3" t="s">
        <v>61</v>
      </c>
      <c r="K886" s="3">
        <v>67003</v>
      </c>
      <c r="L886" s="3" t="s">
        <v>1728</v>
      </c>
      <c r="M886" s="3"/>
      <c r="N886" s="3" t="s">
        <v>1729</v>
      </c>
      <c r="O886" s="3" t="s">
        <v>1730</v>
      </c>
      <c r="P886" s="3" t="s">
        <v>3254</v>
      </c>
      <c r="Q886" s="3" t="s">
        <v>67</v>
      </c>
      <c r="R886" s="3"/>
      <c r="S886" s="3" t="str">
        <f>"May 11-13"</f>
        <v>May 11-13</v>
      </c>
    </row>
    <row r="887" spans="1:19" ht="39" x14ac:dyDescent="0.25">
      <c r="A887" s="1">
        <v>41053</v>
      </c>
      <c r="B887" s="1">
        <v>41055</v>
      </c>
      <c r="C887" s="2">
        <f t="shared" si="35"/>
        <v>3</v>
      </c>
      <c r="D887" s="6" t="s">
        <v>3308</v>
      </c>
      <c r="E887" s="3" t="s">
        <v>3309</v>
      </c>
      <c r="F887" s="4" t="s">
        <v>67</v>
      </c>
      <c r="G887" s="3" t="s">
        <v>3310</v>
      </c>
      <c r="H887" s="3" t="s">
        <v>3311</v>
      </c>
      <c r="I887" s="3" t="s">
        <v>2951</v>
      </c>
      <c r="J887" s="3" t="s">
        <v>61</v>
      </c>
      <c r="K887" s="3">
        <v>66086</v>
      </c>
      <c r="L887" s="3" t="s">
        <v>3312</v>
      </c>
      <c r="M887" s="3"/>
      <c r="N887" s="3"/>
      <c r="O887" s="3" t="s">
        <v>3313</v>
      </c>
      <c r="P887" s="3" t="s">
        <v>3314</v>
      </c>
      <c r="Q887" s="3" t="s">
        <v>67</v>
      </c>
      <c r="R887" s="3" t="s">
        <v>67</v>
      </c>
      <c r="S887" s="3" t="str">
        <f>"May 24-26"</f>
        <v>May 24-26</v>
      </c>
    </row>
    <row r="888" spans="1:19" ht="26.25" x14ac:dyDescent="0.25">
      <c r="A888" s="1">
        <v>41060</v>
      </c>
      <c r="B888" s="1">
        <v>41062</v>
      </c>
      <c r="C888" s="2">
        <f t="shared" si="35"/>
        <v>3</v>
      </c>
      <c r="D888" s="6" t="s">
        <v>3333</v>
      </c>
      <c r="E888" s="3" t="s">
        <v>3334</v>
      </c>
      <c r="F888" s="4" t="s">
        <v>67</v>
      </c>
      <c r="G888" s="3" t="s">
        <v>3335</v>
      </c>
      <c r="H888" s="3"/>
      <c r="I888" s="3" t="s">
        <v>3336</v>
      </c>
      <c r="J888" s="3" t="s">
        <v>61</v>
      </c>
      <c r="K888" s="3">
        <v>66869</v>
      </c>
      <c r="L888" s="3" t="s">
        <v>3337</v>
      </c>
      <c r="M888" s="3"/>
      <c r="N888" s="3"/>
      <c r="O888" s="3" t="s">
        <v>3338</v>
      </c>
      <c r="P888" s="3" t="s">
        <v>3339</v>
      </c>
      <c r="Q888" s="3" t="s">
        <v>67</v>
      </c>
      <c r="R888" s="3" t="s">
        <v>67</v>
      </c>
      <c r="S888" s="3" t="str">
        <f>"May 31-Jun 2"</f>
        <v>May 31-Jun 2</v>
      </c>
    </row>
    <row r="889" spans="1:19" ht="26.25" x14ac:dyDescent="0.25">
      <c r="A889" s="1">
        <v>41061</v>
      </c>
      <c r="B889" s="1">
        <v>41063</v>
      </c>
      <c r="C889" s="2">
        <f t="shared" si="35"/>
        <v>3</v>
      </c>
      <c r="D889" s="6" t="s">
        <v>3346</v>
      </c>
      <c r="E889" s="3" t="s">
        <v>3347</v>
      </c>
      <c r="F889" s="4" t="s">
        <v>67</v>
      </c>
      <c r="G889" s="3" t="s">
        <v>3348</v>
      </c>
      <c r="H889" s="3" t="s">
        <v>3349</v>
      </c>
      <c r="I889" s="3" t="s">
        <v>3350</v>
      </c>
      <c r="J889" s="3" t="s">
        <v>61</v>
      </c>
      <c r="K889" s="3">
        <v>66861</v>
      </c>
      <c r="L889" s="3" t="s">
        <v>3351</v>
      </c>
      <c r="M889" s="3"/>
      <c r="N889" s="3"/>
      <c r="O889" s="3" t="s">
        <v>3352</v>
      </c>
      <c r="P889" s="3" t="s">
        <v>3353</v>
      </c>
      <c r="Q889" s="3" t="s">
        <v>67</v>
      </c>
      <c r="R889" s="3" t="s">
        <v>67</v>
      </c>
      <c r="S889" s="3" t="str">
        <f>"Jun 1-3"</f>
        <v>Jun 1-3</v>
      </c>
    </row>
    <row r="890" spans="1:19" ht="26.25" x14ac:dyDescent="0.25">
      <c r="A890" s="1">
        <v>41068</v>
      </c>
      <c r="B890" s="1">
        <v>41070</v>
      </c>
      <c r="C890" s="2">
        <f t="shared" si="35"/>
        <v>3</v>
      </c>
      <c r="D890" s="6" t="s">
        <v>3397</v>
      </c>
      <c r="E890" s="3" t="s">
        <v>3398</v>
      </c>
      <c r="F890" s="4" t="s">
        <v>67</v>
      </c>
      <c r="G890" s="3" t="s">
        <v>3399</v>
      </c>
      <c r="H890" s="3"/>
      <c r="I890" s="3" t="s">
        <v>3400</v>
      </c>
      <c r="J890" s="3" t="s">
        <v>61</v>
      </c>
      <c r="K890" s="3">
        <v>67663</v>
      </c>
      <c r="L890" s="3" t="s">
        <v>3401</v>
      </c>
      <c r="M890" s="3"/>
      <c r="N890" s="3"/>
      <c r="O890" s="3" t="s">
        <v>3402</v>
      </c>
      <c r="P890" s="3" t="s">
        <v>3403</v>
      </c>
      <c r="Q890" s="3" t="s">
        <v>67</v>
      </c>
      <c r="R890" s="3" t="s">
        <v>67</v>
      </c>
      <c r="S890" s="3" t="str">
        <f>"Jun 8-10"</f>
        <v>Jun 8-10</v>
      </c>
    </row>
    <row r="891" spans="1:19" ht="51.75" x14ac:dyDescent="0.25">
      <c r="A891" s="1">
        <v>41068</v>
      </c>
      <c r="B891" s="1">
        <v>41070</v>
      </c>
      <c r="C891" s="2">
        <f t="shared" si="35"/>
        <v>3</v>
      </c>
      <c r="D891" s="6" t="s">
        <v>3404</v>
      </c>
      <c r="E891" s="3" t="s">
        <v>3405</v>
      </c>
      <c r="F891" s="4" t="s">
        <v>67</v>
      </c>
      <c r="G891" s="3" t="s">
        <v>3406</v>
      </c>
      <c r="H891" s="3"/>
      <c r="I891" s="3" t="s">
        <v>165</v>
      </c>
      <c r="J891" s="3" t="s">
        <v>61</v>
      </c>
      <c r="K891" s="3">
        <v>66207</v>
      </c>
      <c r="L891" s="3" t="s">
        <v>3407</v>
      </c>
      <c r="M891" s="3"/>
      <c r="N891" s="3"/>
      <c r="O891" s="3" t="s">
        <v>3408</v>
      </c>
      <c r="P891" s="3" t="s">
        <v>3409</v>
      </c>
      <c r="Q891" s="3" t="s">
        <v>67</v>
      </c>
      <c r="R891" s="3"/>
      <c r="S891" s="3" t="str">
        <f>"Jun 8-10"</f>
        <v>Jun 8-10</v>
      </c>
    </row>
    <row r="892" spans="1:19" ht="39" x14ac:dyDescent="0.25">
      <c r="A892" s="1">
        <v>41080</v>
      </c>
      <c r="B892" s="1">
        <v>41082</v>
      </c>
      <c r="C892" s="2">
        <f t="shared" si="35"/>
        <v>3</v>
      </c>
      <c r="D892" s="6" t="s">
        <v>3475</v>
      </c>
      <c r="E892" s="3" t="s">
        <v>3476</v>
      </c>
      <c r="F892" s="4" t="s">
        <v>67</v>
      </c>
      <c r="G892" s="3" t="s">
        <v>3477</v>
      </c>
      <c r="H892" s="3" t="s">
        <v>3478</v>
      </c>
      <c r="I892" s="3" t="s">
        <v>3479</v>
      </c>
      <c r="J892" s="3" t="s">
        <v>61</v>
      </c>
      <c r="K892" s="3">
        <v>67037</v>
      </c>
      <c r="L892" s="3" t="s">
        <v>3480</v>
      </c>
      <c r="M892" s="3"/>
      <c r="N892" s="3"/>
      <c r="O892" s="3" t="s">
        <v>3481</v>
      </c>
      <c r="P892" s="3" t="s">
        <v>3482</v>
      </c>
      <c r="Q892" s="3" t="s">
        <v>67</v>
      </c>
      <c r="R892" s="3" t="s">
        <v>67</v>
      </c>
      <c r="S892" s="3" t="str">
        <f>"Jun 20-22"</f>
        <v>Jun 20-22</v>
      </c>
    </row>
    <row r="893" spans="1:19" ht="26.25" x14ac:dyDescent="0.25">
      <c r="A893" s="1">
        <v>41097</v>
      </c>
      <c r="B893" s="1">
        <v>41099</v>
      </c>
      <c r="C893" s="2">
        <f t="shared" si="35"/>
        <v>3</v>
      </c>
      <c r="D893" s="6" t="s">
        <v>3625</v>
      </c>
      <c r="E893" s="3" t="s">
        <v>3626</v>
      </c>
      <c r="F893" s="4" t="s">
        <v>67</v>
      </c>
      <c r="G893" s="3" t="s">
        <v>557</v>
      </c>
      <c r="H893" s="3"/>
      <c r="I893" s="3" t="s">
        <v>558</v>
      </c>
      <c r="J893" s="3" t="s">
        <v>61</v>
      </c>
      <c r="K893" s="3">
        <v>67880</v>
      </c>
      <c r="L893" s="3" t="s">
        <v>559</v>
      </c>
      <c r="M893" s="3"/>
      <c r="N893" s="3" t="s">
        <v>560</v>
      </c>
      <c r="O893" s="3" t="s">
        <v>561</v>
      </c>
      <c r="P893" s="3" t="s">
        <v>562</v>
      </c>
      <c r="Q893" s="3" t="s">
        <v>67</v>
      </c>
      <c r="R893" s="3" t="s">
        <v>67</v>
      </c>
      <c r="S893" s="3" t="str">
        <f>"Jul 7-9"</f>
        <v>Jul 7-9</v>
      </c>
    </row>
    <row r="894" spans="1:19" ht="39" x14ac:dyDescent="0.25">
      <c r="A894" s="1">
        <v>41102</v>
      </c>
      <c r="B894" s="1">
        <v>41104</v>
      </c>
      <c r="C894" s="2">
        <f t="shared" si="35"/>
        <v>3</v>
      </c>
      <c r="D894" s="6" t="s">
        <v>3627</v>
      </c>
      <c r="E894" s="3" t="s">
        <v>3628</v>
      </c>
      <c r="F894" s="4" t="s">
        <v>67</v>
      </c>
      <c r="G894" s="3" t="s">
        <v>3629</v>
      </c>
      <c r="H894" s="3"/>
      <c r="I894" s="3" t="s">
        <v>3630</v>
      </c>
      <c r="J894" s="3" t="s">
        <v>61</v>
      </c>
      <c r="K894" s="3">
        <v>66080</v>
      </c>
      <c r="L894" s="3" t="s">
        <v>3631</v>
      </c>
      <c r="M894" s="3"/>
      <c r="N894" s="3"/>
      <c r="O894" s="3"/>
      <c r="P894" s="3" t="s">
        <v>80</v>
      </c>
      <c r="Q894" s="3"/>
      <c r="R894" s="3"/>
      <c r="S894" s="3" t="str">
        <f>"Jul 12-14"</f>
        <v>Jul 12-14</v>
      </c>
    </row>
    <row r="895" spans="1:19" ht="39" x14ac:dyDescent="0.25">
      <c r="A895" s="1">
        <v>41109</v>
      </c>
      <c r="B895" s="1">
        <v>41111</v>
      </c>
      <c r="C895" s="2">
        <f t="shared" si="35"/>
        <v>3</v>
      </c>
      <c r="D895" s="6" t="s">
        <v>3676</v>
      </c>
      <c r="E895" s="3" t="s">
        <v>3677</v>
      </c>
      <c r="F895" s="4" t="s">
        <v>67</v>
      </c>
      <c r="G895" s="3" t="s">
        <v>3678</v>
      </c>
      <c r="H895" s="3"/>
      <c r="I895" s="3" t="s">
        <v>77</v>
      </c>
      <c r="J895" s="3" t="s">
        <v>61</v>
      </c>
      <c r="K895" s="3">
        <v>66067</v>
      </c>
      <c r="L895" s="3" t="s">
        <v>3679</v>
      </c>
      <c r="M895" s="3"/>
      <c r="N895" s="3"/>
      <c r="O895" s="3"/>
      <c r="P895" s="3" t="s">
        <v>80</v>
      </c>
      <c r="Q895" s="3"/>
      <c r="R895" s="3"/>
      <c r="S895" s="3" t="str">
        <f>"Jul 19-21"</f>
        <v>Jul 19-21</v>
      </c>
    </row>
    <row r="896" spans="1:19" ht="26.25" x14ac:dyDescent="0.25">
      <c r="A896" s="1">
        <v>41111</v>
      </c>
      <c r="B896" s="1">
        <v>41113</v>
      </c>
      <c r="C896" s="2">
        <f t="shared" si="35"/>
        <v>3</v>
      </c>
      <c r="D896" s="6" t="s">
        <v>3701</v>
      </c>
      <c r="E896" s="3" t="s">
        <v>3702</v>
      </c>
      <c r="F896" s="4" t="s">
        <v>67</v>
      </c>
      <c r="G896" s="3" t="s">
        <v>3703</v>
      </c>
      <c r="H896" s="3" t="s">
        <v>3704</v>
      </c>
      <c r="I896" s="3" t="s">
        <v>1866</v>
      </c>
      <c r="J896" s="3" t="s">
        <v>61</v>
      </c>
      <c r="K896" s="3">
        <v>67104</v>
      </c>
      <c r="L896" s="3" t="s">
        <v>3705</v>
      </c>
      <c r="M896" s="3"/>
      <c r="N896" s="3"/>
      <c r="O896" s="3"/>
      <c r="P896" s="3"/>
      <c r="Q896" s="3" t="s">
        <v>67</v>
      </c>
      <c r="R896" s="3"/>
      <c r="S896" s="3" t="str">
        <f>"Jul 21-23"</f>
        <v>Jul 21-23</v>
      </c>
    </row>
    <row r="897" spans="1:19" ht="26.25" x14ac:dyDescent="0.25">
      <c r="A897" s="1">
        <v>41111</v>
      </c>
      <c r="B897" s="1">
        <v>41113</v>
      </c>
      <c r="C897" s="2">
        <f t="shared" si="35"/>
        <v>3</v>
      </c>
      <c r="D897" s="6" t="s">
        <v>3706</v>
      </c>
      <c r="E897" s="3" t="s">
        <v>3707</v>
      </c>
      <c r="F897" s="4" t="s">
        <v>67</v>
      </c>
      <c r="G897" s="3" t="s">
        <v>3708</v>
      </c>
      <c r="H897" s="3" t="s">
        <v>3709</v>
      </c>
      <c r="I897" s="3" t="s">
        <v>3555</v>
      </c>
      <c r="J897" s="3" t="s">
        <v>61</v>
      </c>
      <c r="K897" s="3">
        <v>67057</v>
      </c>
      <c r="L897" s="3" t="s">
        <v>3556</v>
      </c>
      <c r="M897" s="3"/>
      <c r="N897" s="3"/>
      <c r="O897" s="3"/>
      <c r="P897" s="3"/>
      <c r="Q897" s="3" t="s">
        <v>67</v>
      </c>
      <c r="R897" s="3" t="s">
        <v>67</v>
      </c>
      <c r="S897" s="3" t="str">
        <f>"Jul 21-23"</f>
        <v>Jul 21-23</v>
      </c>
    </row>
    <row r="898" spans="1:19" ht="39" x14ac:dyDescent="0.25">
      <c r="A898" s="1">
        <v>41116</v>
      </c>
      <c r="B898" s="1">
        <v>41118</v>
      </c>
      <c r="C898" s="2">
        <f t="shared" ref="C898:C926" si="36">(B898-A898)+1</f>
        <v>3</v>
      </c>
      <c r="D898" s="6" t="s">
        <v>3716</v>
      </c>
      <c r="E898" s="3" t="s">
        <v>3717</v>
      </c>
      <c r="F898" s="4" t="s">
        <v>67</v>
      </c>
      <c r="G898" s="3" t="s">
        <v>3616</v>
      </c>
      <c r="H898" s="3"/>
      <c r="I898" s="3" t="s">
        <v>303</v>
      </c>
      <c r="J898" s="3" t="s">
        <v>61</v>
      </c>
      <c r="K898" s="3">
        <v>66503</v>
      </c>
      <c r="L898" s="3" t="s">
        <v>3718</v>
      </c>
      <c r="M898" s="3"/>
      <c r="N898" s="3"/>
      <c r="O898" s="3" t="s">
        <v>3719</v>
      </c>
      <c r="P898" s="3"/>
      <c r="Q898" s="3" t="s">
        <v>67</v>
      </c>
      <c r="R898" s="3" t="s">
        <v>67</v>
      </c>
      <c r="S898" s="3" t="str">
        <f>"Jul 26-28"</f>
        <v>Jul 26-28</v>
      </c>
    </row>
    <row r="899" spans="1:19" ht="39" x14ac:dyDescent="0.25">
      <c r="A899" s="1">
        <v>41152</v>
      </c>
      <c r="B899" s="1">
        <v>41154</v>
      </c>
      <c r="C899" s="2">
        <f t="shared" si="36"/>
        <v>3</v>
      </c>
      <c r="D899" s="6" t="s">
        <v>3853</v>
      </c>
      <c r="E899" s="3" t="s">
        <v>3854</v>
      </c>
      <c r="F899" s="4" t="s">
        <v>67</v>
      </c>
      <c r="G899" s="3" t="s">
        <v>3855</v>
      </c>
      <c r="H899" s="3" t="s">
        <v>3856</v>
      </c>
      <c r="I899" s="3" t="s">
        <v>60</v>
      </c>
      <c r="J899" s="3" t="s">
        <v>61</v>
      </c>
      <c r="K899" s="3">
        <v>66605</v>
      </c>
      <c r="L899" s="3" t="s">
        <v>3857</v>
      </c>
      <c r="M899" s="3"/>
      <c r="N899" s="3"/>
      <c r="O899" s="3"/>
      <c r="P899" s="3"/>
      <c r="Q899" s="3" t="s">
        <v>67</v>
      </c>
      <c r="R899" s="3"/>
      <c r="S899" s="3" t="str">
        <f>"Aug 31-Sep 2"</f>
        <v>Aug 31-Sep 2</v>
      </c>
    </row>
    <row r="900" spans="1:19" ht="26.25" x14ac:dyDescent="0.25">
      <c r="A900" s="1">
        <v>40816</v>
      </c>
      <c r="B900" s="1">
        <v>40817</v>
      </c>
      <c r="C900" s="2">
        <f t="shared" si="36"/>
        <v>2</v>
      </c>
      <c r="D900" s="6" t="s">
        <v>436</v>
      </c>
      <c r="E900" s="3" t="s">
        <v>437</v>
      </c>
      <c r="F900" s="4" t="s">
        <v>67</v>
      </c>
      <c r="G900" s="3" t="s">
        <v>438</v>
      </c>
      <c r="H900" s="3" t="s">
        <v>439</v>
      </c>
      <c r="I900" s="3" t="s">
        <v>440</v>
      </c>
      <c r="J900" s="3" t="s">
        <v>61</v>
      </c>
      <c r="K900" s="3">
        <v>67337</v>
      </c>
      <c r="L900" s="3" t="s">
        <v>441</v>
      </c>
      <c r="M900" s="3" t="s">
        <v>442</v>
      </c>
      <c r="N900" s="3"/>
      <c r="O900" s="3" t="s">
        <v>443</v>
      </c>
      <c r="P900" s="3" t="s">
        <v>444</v>
      </c>
      <c r="Q900" s="3" t="s">
        <v>67</v>
      </c>
      <c r="R900" s="3"/>
      <c r="S900" s="3" t="str">
        <f>"Sep 30-Oct 1"</f>
        <v>Sep 30-Oct 1</v>
      </c>
    </row>
    <row r="901" spans="1:19" ht="26.25" x14ac:dyDescent="0.25">
      <c r="A901" s="1">
        <v>40816</v>
      </c>
      <c r="B901" s="1">
        <v>40817</v>
      </c>
      <c r="C901" s="2">
        <f t="shared" si="36"/>
        <v>2</v>
      </c>
      <c r="D901" s="6" t="s">
        <v>445</v>
      </c>
      <c r="E901" s="3" t="s">
        <v>446</v>
      </c>
      <c r="F901" s="4" t="s">
        <v>67</v>
      </c>
      <c r="G901" s="3" t="s">
        <v>447</v>
      </c>
      <c r="H901" s="3"/>
      <c r="I901" s="3" t="s">
        <v>448</v>
      </c>
      <c r="J901" s="3" t="s">
        <v>61</v>
      </c>
      <c r="K901" s="3">
        <v>67357</v>
      </c>
      <c r="L901" s="3" t="s">
        <v>449</v>
      </c>
      <c r="M901" s="3"/>
      <c r="N901" s="3"/>
      <c r="O901" s="3"/>
      <c r="P901" s="3" t="s">
        <v>450</v>
      </c>
      <c r="Q901" s="3" t="s">
        <v>67</v>
      </c>
      <c r="R901" s="3"/>
      <c r="S901" s="3" t="str">
        <f>"Sep 30-Oct 1"</f>
        <v>Sep 30-Oct 1</v>
      </c>
    </row>
    <row r="902" spans="1:19" ht="26.25" x14ac:dyDescent="0.25">
      <c r="A902" s="1">
        <v>40816</v>
      </c>
      <c r="B902" s="1">
        <v>40817</v>
      </c>
      <c r="C902" s="2">
        <f t="shared" si="36"/>
        <v>2</v>
      </c>
      <c r="D902" s="6" t="s">
        <v>451</v>
      </c>
      <c r="E902" s="3" t="s">
        <v>452</v>
      </c>
      <c r="F902" s="4" t="s">
        <v>67</v>
      </c>
      <c r="G902" s="3" t="s">
        <v>453</v>
      </c>
      <c r="H902" s="3" t="s">
        <v>454</v>
      </c>
      <c r="I902" s="3" t="s">
        <v>455</v>
      </c>
      <c r="J902" s="3" t="s">
        <v>61</v>
      </c>
      <c r="K902" s="3">
        <v>66441</v>
      </c>
      <c r="L902" s="3" t="s">
        <v>456</v>
      </c>
      <c r="M902" s="3" t="s">
        <v>457</v>
      </c>
      <c r="N902" s="3"/>
      <c r="O902" s="3" t="s">
        <v>458</v>
      </c>
      <c r="P902" s="3" t="s">
        <v>459</v>
      </c>
      <c r="Q902" s="3" t="s">
        <v>67</v>
      </c>
      <c r="R902" s="3"/>
      <c r="S902" s="3" t="str">
        <f>"Sep 30-Oct 1"</f>
        <v>Sep 30-Oct 1</v>
      </c>
    </row>
    <row r="903" spans="1:19" ht="39" x14ac:dyDescent="0.25">
      <c r="A903" s="1">
        <v>40817</v>
      </c>
      <c r="B903" s="1">
        <v>40818</v>
      </c>
      <c r="C903" s="2">
        <f t="shared" si="36"/>
        <v>2</v>
      </c>
      <c r="D903" s="6" t="s">
        <v>665</v>
      </c>
      <c r="E903" s="3" t="s">
        <v>666</v>
      </c>
      <c r="F903" s="4" t="s">
        <v>67</v>
      </c>
      <c r="G903" s="3" t="s">
        <v>667</v>
      </c>
      <c r="H903" s="3" t="s">
        <v>668</v>
      </c>
      <c r="I903" s="3" t="s">
        <v>669</v>
      </c>
      <c r="J903" s="3" t="s">
        <v>61</v>
      </c>
      <c r="K903" s="3">
        <v>67849</v>
      </c>
      <c r="L903" s="3" t="s">
        <v>670</v>
      </c>
      <c r="M903" s="3"/>
      <c r="N903" s="3" t="s">
        <v>671</v>
      </c>
      <c r="O903" s="3" t="s">
        <v>672</v>
      </c>
      <c r="P903" s="3" t="s">
        <v>673</v>
      </c>
      <c r="Q903" s="3" t="s">
        <v>67</v>
      </c>
      <c r="R903" s="3"/>
      <c r="S903" s="3" t="str">
        <f>"Oct 1-2"</f>
        <v>Oct 1-2</v>
      </c>
    </row>
    <row r="904" spans="1:19" ht="39" x14ac:dyDescent="0.25">
      <c r="A904" s="1">
        <v>40817</v>
      </c>
      <c r="B904" s="1">
        <v>40818</v>
      </c>
      <c r="C904" s="2">
        <f t="shared" si="36"/>
        <v>2</v>
      </c>
      <c r="D904" s="6" t="s">
        <v>683</v>
      </c>
      <c r="E904" s="3" t="s">
        <v>684</v>
      </c>
      <c r="F904" s="4" t="s">
        <v>67</v>
      </c>
      <c r="G904" s="3" t="s">
        <v>685</v>
      </c>
      <c r="H904" s="3"/>
      <c r="I904" s="3" t="s">
        <v>686</v>
      </c>
      <c r="J904" s="3" t="s">
        <v>61</v>
      </c>
      <c r="K904" s="3">
        <v>66547</v>
      </c>
      <c r="L904" s="3" t="s">
        <v>687</v>
      </c>
      <c r="M904" s="3"/>
      <c r="N904" s="3"/>
      <c r="O904" s="3" t="s">
        <v>688</v>
      </c>
      <c r="P904" s="3" t="s">
        <v>689</v>
      </c>
      <c r="Q904" s="3"/>
      <c r="R904" s="3" t="s">
        <v>67</v>
      </c>
      <c r="S904" s="3" t="str">
        <f>"Oct 1-2"</f>
        <v>Oct 1-2</v>
      </c>
    </row>
    <row r="905" spans="1:19" ht="39" x14ac:dyDescent="0.25">
      <c r="A905" s="1">
        <v>40823</v>
      </c>
      <c r="B905" s="1">
        <v>40824</v>
      </c>
      <c r="C905" s="2">
        <f t="shared" si="36"/>
        <v>2</v>
      </c>
      <c r="D905" s="6" t="s">
        <v>861</v>
      </c>
      <c r="E905" s="3" t="s">
        <v>862</v>
      </c>
      <c r="F905" s="4" t="s">
        <v>67</v>
      </c>
      <c r="G905" s="3" t="s">
        <v>863</v>
      </c>
      <c r="H905" s="3" t="s">
        <v>864</v>
      </c>
      <c r="I905" s="3" t="s">
        <v>865</v>
      </c>
      <c r="J905" s="3" t="s">
        <v>61</v>
      </c>
      <c r="K905" s="3">
        <v>67601</v>
      </c>
      <c r="L905" s="3" t="s">
        <v>866</v>
      </c>
      <c r="M905" s="3" t="s">
        <v>867</v>
      </c>
      <c r="N905" s="3" t="s">
        <v>868</v>
      </c>
      <c r="O905" s="3" t="s">
        <v>869</v>
      </c>
      <c r="P905" s="3" t="s">
        <v>870</v>
      </c>
      <c r="Q905" s="3"/>
      <c r="R905" s="3"/>
      <c r="S905" s="3" t="str">
        <f>"Oct 7-8"</f>
        <v>Oct 7-8</v>
      </c>
    </row>
    <row r="906" spans="1:19" ht="39" x14ac:dyDescent="0.25">
      <c r="A906" s="1">
        <v>40823</v>
      </c>
      <c r="B906" s="1">
        <v>40824</v>
      </c>
      <c r="C906" s="2">
        <f t="shared" si="36"/>
        <v>2</v>
      </c>
      <c r="D906" s="6" t="s">
        <v>871</v>
      </c>
      <c r="E906" s="3" t="s">
        <v>872</v>
      </c>
      <c r="F906" s="4" t="s">
        <v>67</v>
      </c>
      <c r="G906" s="3" t="s">
        <v>873</v>
      </c>
      <c r="H906" s="3" t="s">
        <v>874</v>
      </c>
      <c r="I906" s="3" t="s">
        <v>875</v>
      </c>
      <c r="J906" s="3" t="s">
        <v>61</v>
      </c>
      <c r="K906" s="3">
        <v>66018</v>
      </c>
      <c r="L906" s="3" t="s">
        <v>876</v>
      </c>
      <c r="M906" s="3"/>
      <c r="N906" s="3" t="s">
        <v>877</v>
      </c>
      <c r="O906" s="3" t="s">
        <v>878</v>
      </c>
      <c r="P906" s="3" t="s">
        <v>879</v>
      </c>
      <c r="Q906" s="3" t="s">
        <v>67</v>
      </c>
      <c r="R906" s="3" t="s">
        <v>67</v>
      </c>
      <c r="S906" s="3" t="str">
        <f>"Oct 7-8"</f>
        <v>Oct 7-8</v>
      </c>
    </row>
    <row r="907" spans="1:19" ht="26.25" x14ac:dyDescent="0.25">
      <c r="A907" s="1">
        <v>40824</v>
      </c>
      <c r="B907" s="1">
        <v>40825</v>
      </c>
      <c r="C907" s="2">
        <f t="shared" si="36"/>
        <v>2</v>
      </c>
      <c r="D907" s="6" t="s">
        <v>1081</v>
      </c>
      <c r="E907" s="3" t="s">
        <v>1082</v>
      </c>
      <c r="F907" s="4" t="s">
        <v>67</v>
      </c>
      <c r="G907" s="3" t="s">
        <v>1083</v>
      </c>
      <c r="H907" s="3" t="s">
        <v>1084</v>
      </c>
      <c r="I907" s="3" t="s">
        <v>1085</v>
      </c>
      <c r="J907" s="3" t="s">
        <v>61</v>
      </c>
      <c r="K907" s="3">
        <v>66095</v>
      </c>
      <c r="L907" s="3" t="s">
        <v>1086</v>
      </c>
      <c r="M907" s="3"/>
      <c r="N907" s="3"/>
      <c r="O907" s="3" t="s">
        <v>1087</v>
      </c>
      <c r="P907" s="3" t="s">
        <v>1088</v>
      </c>
      <c r="Q907" s="3"/>
      <c r="R907" s="3"/>
      <c r="S907" s="3" t="str">
        <f>"Oct 8-9"</f>
        <v>Oct 8-9</v>
      </c>
    </row>
    <row r="908" spans="1:19" ht="26.25" x14ac:dyDescent="0.25">
      <c r="A908" s="1">
        <v>40837</v>
      </c>
      <c r="B908" s="1">
        <v>40838</v>
      </c>
      <c r="C908" s="2">
        <f t="shared" si="36"/>
        <v>2</v>
      </c>
      <c r="D908" s="6" t="s">
        <v>1383</v>
      </c>
      <c r="E908" s="3" t="s">
        <v>1384</v>
      </c>
      <c r="F908" s="4" t="s">
        <v>67</v>
      </c>
      <c r="G908" s="3" t="s">
        <v>1385</v>
      </c>
      <c r="H908" s="3"/>
      <c r="I908" s="3" t="s">
        <v>245</v>
      </c>
      <c r="J908" s="3" t="s">
        <v>61</v>
      </c>
      <c r="K908" s="3">
        <v>67401</v>
      </c>
      <c r="L908" s="3" t="s">
        <v>1386</v>
      </c>
      <c r="M908" s="3" t="s">
        <v>1387</v>
      </c>
      <c r="N908" s="3"/>
      <c r="O908" s="3"/>
      <c r="P908" s="3" t="s">
        <v>1388</v>
      </c>
      <c r="Q908" s="3"/>
      <c r="R908" s="3" t="s">
        <v>67</v>
      </c>
      <c r="S908" s="3" t="str">
        <f>"Oct 21-22"</f>
        <v>Oct 21-22</v>
      </c>
    </row>
    <row r="909" spans="1:19" ht="39" x14ac:dyDescent="0.25">
      <c r="A909" s="1">
        <v>40872</v>
      </c>
      <c r="B909" s="1">
        <v>40873</v>
      </c>
      <c r="C909" s="2">
        <f t="shared" si="36"/>
        <v>2</v>
      </c>
      <c r="D909" s="6" t="s">
        <v>2101</v>
      </c>
      <c r="E909" s="3" t="s">
        <v>2102</v>
      </c>
      <c r="F909" s="4" t="s">
        <v>67</v>
      </c>
      <c r="G909" s="3" t="s">
        <v>2103</v>
      </c>
      <c r="H909" s="3" t="s">
        <v>2104</v>
      </c>
      <c r="I909" s="3" t="s">
        <v>133</v>
      </c>
      <c r="J909" s="3" t="s">
        <v>61</v>
      </c>
      <c r="K909" s="3">
        <v>66845</v>
      </c>
      <c r="L909" s="3" t="s">
        <v>2105</v>
      </c>
      <c r="M909" s="3" t="s">
        <v>2106</v>
      </c>
      <c r="N909" s="3"/>
      <c r="O909" s="3" t="s">
        <v>2107</v>
      </c>
      <c r="P909" s="3" t="s">
        <v>2108</v>
      </c>
      <c r="Q909" s="3" t="s">
        <v>67</v>
      </c>
      <c r="R909" s="3" t="s">
        <v>67</v>
      </c>
      <c r="S909" s="3" t="str">
        <f>"Nov 25-26"</f>
        <v>Nov 25-26</v>
      </c>
    </row>
    <row r="910" spans="1:19" ht="26.25" x14ac:dyDescent="0.25">
      <c r="A910" s="1">
        <v>40880</v>
      </c>
      <c r="B910" s="1">
        <v>40881</v>
      </c>
      <c r="C910" s="2">
        <f t="shared" si="36"/>
        <v>2</v>
      </c>
      <c r="D910" s="6" t="s">
        <v>2455</v>
      </c>
      <c r="E910" s="3" t="s">
        <v>2456</v>
      </c>
      <c r="F910" s="4" t="s">
        <v>67</v>
      </c>
      <c r="G910" s="3" t="s">
        <v>529</v>
      </c>
      <c r="H910" s="3"/>
      <c r="I910" s="3" t="s">
        <v>1085</v>
      </c>
      <c r="J910" s="3" t="s">
        <v>61</v>
      </c>
      <c r="K910" s="3">
        <v>66095</v>
      </c>
      <c r="L910" s="3" t="s">
        <v>2457</v>
      </c>
      <c r="M910" s="3"/>
      <c r="N910" s="3"/>
      <c r="O910" s="3"/>
      <c r="P910" s="3"/>
      <c r="Q910" s="3"/>
      <c r="R910" s="3"/>
      <c r="S910" s="3" t="str">
        <f>"Dec 3-4"</f>
        <v>Dec 3-4</v>
      </c>
    </row>
    <row r="911" spans="1:19" ht="39" x14ac:dyDescent="0.25">
      <c r="A911" s="1">
        <v>40956</v>
      </c>
      <c r="B911" s="1">
        <v>40957</v>
      </c>
      <c r="C911" s="2">
        <f t="shared" si="36"/>
        <v>2</v>
      </c>
      <c r="D911" s="6" t="s">
        <v>2851</v>
      </c>
      <c r="E911" s="3" t="s">
        <v>2852</v>
      </c>
      <c r="F911" s="4" t="s">
        <v>67</v>
      </c>
      <c r="G911" s="3" t="s">
        <v>2853</v>
      </c>
      <c r="H911" s="3" t="s">
        <v>2854</v>
      </c>
      <c r="I911" s="3" t="s">
        <v>71</v>
      </c>
      <c r="J911" s="3" t="s">
        <v>61</v>
      </c>
      <c r="K911" s="3">
        <v>67207</v>
      </c>
      <c r="L911" s="3" t="s">
        <v>2855</v>
      </c>
      <c r="M911" s="3"/>
      <c r="N911" s="3"/>
      <c r="O911" s="3"/>
      <c r="P911" s="3" t="s">
        <v>2856</v>
      </c>
      <c r="Q911" s="3" t="s">
        <v>67</v>
      </c>
      <c r="R911" s="3" t="s">
        <v>67</v>
      </c>
      <c r="S911" s="3" t="str">
        <f>"Feb 17-18"</f>
        <v>Feb 17-18</v>
      </c>
    </row>
    <row r="912" spans="1:19" ht="39" x14ac:dyDescent="0.25">
      <c r="A912" s="1">
        <v>41021</v>
      </c>
      <c r="B912" s="1">
        <v>41022</v>
      </c>
      <c r="C912" s="2">
        <f t="shared" si="36"/>
        <v>2</v>
      </c>
      <c r="D912" s="6" t="s">
        <v>3101</v>
      </c>
      <c r="E912" s="3" t="s">
        <v>3102</v>
      </c>
      <c r="F912" s="4" t="s">
        <v>67</v>
      </c>
      <c r="G912" s="3" t="s">
        <v>1898</v>
      </c>
      <c r="H912" s="3"/>
      <c r="I912" s="3" t="s">
        <v>3103</v>
      </c>
      <c r="J912" s="3" t="s">
        <v>61</v>
      </c>
      <c r="K912" s="3">
        <v>67070</v>
      </c>
      <c r="L912" s="3" t="s">
        <v>3104</v>
      </c>
      <c r="M912" s="3"/>
      <c r="N912" s="3"/>
      <c r="O912" s="3"/>
      <c r="P912" s="3" t="s">
        <v>3105</v>
      </c>
      <c r="Q912" s="3"/>
      <c r="R912" s="3"/>
      <c r="S912" s="3" t="str">
        <f>"Apr 22-23"</f>
        <v>Apr 22-23</v>
      </c>
    </row>
    <row r="913" spans="1:19" ht="39" x14ac:dyDescent="0.25">
      <c r="A913" s="1">
        <v>41075</v>
      </c>
      <c r="B913" s="1">
        <v>41076</v>
      </c>
      <c r="C913" s="2">
        <f t="shared" si="36"/>
        <v>2</v>
      </c>
      <c r="D913" s="6" t="s">
        <v>3452</v>
      </c>
      <c r="E913" s="3" t="s">
        <v>3453</v>
      </c>
      <c r="F913" s="4" t="s">
        <v>67</v>
      </c>
      <c r="G913" s="3" t="s">
        <v>215</v>
      </c>
      <c r="H913" s="3"/>
      <c r="I913" s="3" t="s">
        <v>1085</v>
      </c>
      <c r="J913" s="3" t="s">
        <v>61</v>
      </c>
      <c r="K913" s="3">
        <v>66095</v>
      </c>
      <c r="L913" s="3" t="s">
        <v>3454</v>
      </c>
      <c r="M913" s="3"/>
      <c r="N913" s="3"/>
      <c r="O913" s="3"/>
      <c r="P913" s="3"/>
      <c r="Q913" s="3"/>
      <c r="R913" s="3"/>
      <c r="S913" s="3" t="str">
        <f>"Jun 15-16"</f>
        <v>Jun 15-16</v>
      </c>
    </row>
    <row r="914" spans="1:19" ht="39" x14ac:dyDescent="0.25">
      <c r="A914" s="1">
        <v>41075</v>
      </c>
      <c r="B914" s="1">
        <v>41076</v>
      </c>
      <c r="C914" s="2">
        <f t="shared" si="36"/>
        <v>2</v>
      </c>
      <c r="D914" s="6" t="s">
        <v>3455</v>
      </c>
      <c r="E914" s="3" t="s">
        <v>3456</v>
      </c>
      <c r="F914" s="4" t="s">
        <v>67</v>
      </c>
      <c r="G914" s="3" t="s">
        <v>3457</v>
      </c>
      <c r="H914" s="3"/>
      <c r="I914" s="3" t="s">
        <v>3458</v>
      </c>
      <c r="J914" s="3" t="s">
        <v>61</v>
      </c>
      <c r="K914" s="3">
        <v>67669</v>
      </c>
      <c r="L914" s="3" t="s">
        <v>3459</v>
      </c>
      <c r="M914" s="3"/>
      <c r="N914" s="3"/>
      <c r="O914" s="3" t="s">
        <v>3460</v>
      </c>
      <c r="P914" s="3" t="s">
        <v>3461</v>
      </c>
      <c r="Q914" s="3" t="s">
        <v>67</v>
      </c>
      <c r="R914" s="3"/>
      <c r="S914" s="3" t="str">
        <f>"Jun 15-16"</f>
        <v>Jun 15-16</v>
      </c>
    </row>
    <row r="915" spans="1:19" ht="39" x14ac:dyDescent="0.25">
      <c r="A915" s="1">
        <v>41076</v>
      </c>
      <c r="B915" s="1">
        <v>41077</v>
      </c>
      <c r="C915" s="2">
        <f t="shared" si="36"/>
        <v>2</v>
      </c>
      <c r="D915" s="6" t="s">
        <v>3468</v>
      </c>
      <c r="E915" s="3" t="s">
        <v>3469</v>
      </c>
      <c r="F915" s="4" t="s">
        <v>67</v>
      </c>
      <c r="G915" s="3" t="s">
        <v>3470</v>
      </c>
      <c r="H915" s="3" t="s">
        <v>3471</v>
      </c>
      <c r="I915" s="3" t="s">
        <v>210</v>
      </c>
      <c r="J915" s="3" t="s">
        <v>61</v>
      </c>
      <c r="K915" s="3">
        <v>66002</v>
      </c>
      <c r="L915" s="3" t="s">
        <v>3472</v>
      </c>
      <c r="M915" s="3"/>
      <c r="N915" s="3"/>
      <c r="O915" s="3" t="s">
        <v>3473</v>
      </c>
      <c r="P915" s="3"/>
      <c r="Q915" s="3" t="s">
        <v>67</v>
      </c>
      <c r="R915" s="3"/>
      <c r="S915" s="3" t="str">
        <f>"Jun 16-17"</f>
        <v>Jun 16-17</v>
      </c>
    </row>
    <row r="916" spans="1:19" ht="26.25" x14ac:dyDescent="0.25">
      <c r="A916" s="1">
        <v>41082</v>
      </c>
      <c r="B916" s="1">
        <v>41083</v>
      </c>
      <c r="C916" s="2">
        <f t="shared" si="36"/>
        <v>2</v>
      </c>
      <c r="D916" s="6" t="s">
        <v>3497</v>
      </c>
      <c r="E916" s="3" t="s">
        <v>3498</v>
      </c>
      <c r="F916" s="4" t="s">
        <v>67</v>
      </c>
      <c r="G916" s="3" t="s">
        <v>3499</v>
      </c>
      <c r="H916" s="3"/>
      <c r="I916" s="3" t="s">
        <v>2047</v>
      </c>
      <c r="J916" s="3" t="s">
        <v>61</v>
      </c>
      <c r="K916" s="3">
        <v>66050</v>
      </c>
      <c r="L916" s="3" t="s">
        <v>3500</v>
      </c>
      <c r="M916" s="3"/>
      <c r="N916" s="3"/>
      <c r="O916" s="3" t="s">
        <v>2049</v>
      </c>
      <c r="P916" s="3" t="s">
        <v>3501</v>
      </c>
      <c r="Q916" s="3" t="s">
        <v>67</v>
      </c>
      <c r="R916" s="3"/>
      <c r="S916" s="3" t="str">
        <f>"Jun 22-23"</f>
        <v>Jun 22-23</v>
      </c>
    </row>
    <row r="917" spans="1:19" x14ac:dyDescent="0.25">
      <c r="A917" s="1">
        <v>41082</v>
      </c>
      <c r="B917" s="1">
        <v>41083</v>
      </c>
      <c r="C917" s="2">
        <f t="shared" si="36"/>
        <v>2</v>
      </c>
      <c r="D917" s="6" t="s">
        <v>3492</v>
      </c>
      <c r="E917" s="3" t="s">
        <v>3493</v>
      </c>
      <c r="F917" s="4" t="s">
        <v>67</v>
      </c>
      <c r="G917" s="3" t="s">
        <v>3494</v>
      </c>
      <c r="H917" s="3" t="s">
        <v>3495</v>
      </c>
      <c r="I917" s="3" t="s">
        <v>105</v>
      </c>
      <c r="J917" s="3" t="s">
        <v>61</v>
      </c>
      <c r="K917" s="3">
        <v>66044</v>
      </c>
      <c r="L917" s="3" t="s">
        <v>3496</v>
      </c>
      <c r="M917" s="3"/>
      <c r="N917" s="3"/>
      <c r="O917" s="3"/>
      <c r="P917" s="3"/>
      <c r="Q917" s="3" t="s">
        <v>67</v>
      </c>
      <c r="R917" s="3"/>
      <c r="S917" s="3" t="str">
        <f>"Jun 22-23"</f>
        <v>Jun 22-23</v>
      </c>
    </row>
    <row r="918" spans="1:19" ht="26.25" x14ac:dyDescent="0.25">
      <c r="A918" s="1">
        <v>41103</v>
      </c>
      <c r="B918" s="1">
        <v>41104</v>
      </c>
      <c r="C918" s="2">
        <f t="shared" si="36"/>
        <v>2</v>
      </c>
      <c r="D918" s="6" t="s">
        <v>3637</v>
      </c>
      <c r="E918" s="3" t="s">
        <v>3638</v>
      </c>
      <c r="F918" s="4" t="s">
        <v>67</v>
      </c>
      <c r="G918" s="3" t="s">
        <v>3639</v>
      </c>
      <c r="H918" s="3"/>
      <c r="I918" s="3" t="s">
        <v>3640</v>
      </c>
      <c r="J918" s="3" t="s">
        <v>61</v>
      </c>
      <c r="K918" s="3">
        <v>67454</v>
      </c>
      <c r="L918" s="3" t="s">
        <v>3641</v>
      </c>
      <c r="M918" s="3"/>
      <c r="N918" s="3" t="s">
        <v>3642</v>
      </c>
      <c r="O918" s="3" t="s">
        <v>3643</v>
      </c>
      <c r="P918" s="3"/>
      <c r="Q918" s="3"/>
      <c r="R918" s="3"/>
      <c r="S918" s="3" t="str">
        <f>"Jul 13-14"</f>
        <v>Jul 13-14</v>
      </c>
    </row>
    <row r="919" spans="1:19" ht="26.25" x14ac:dyDescent="0.25">
      <c r="A919" s="1">
        <v>41145</v>
      </c>
      <c r="B919" s="1">
        <v>41146</v>
      </c>
      <c r="C919" s="2">
        <f t="shared" si="36"/>
        <v>2</v>
      </c>
      <c r="D919" s="6" t="s">
        <v>3833</v>
      </c>
      <c r="E919" s="3" t="s">
        <v>3834</v>
      </c>
      <c r="F919" s="4" t="s">
        <v>67</v>
      </c>
      <c r="G919" s="3" t="s">
        <v>3835</v>
      </c>
      <c r="H919" s="3" t="s">
        <v>3836</v>
      </c>
      <c r="I919" s="3" t="s">
        <v>1446</v>
      </c>
      <c r="J919" s="3" t="s">
        <v>61</v>
      </c>
      <c r="K919" s="3">
        <v>66071</v>
      </c>
      <c r="L919" s="3" t="s">
        <v>3837</v>
      </c>
      <c r="M919" s="3"/>
      <c r="N919" s="3"/>
      <c r="O919" s="3" t="s">
        <v>3838</v>
      </c>
      <c r="P919" s="3" t="s">
        <v>3839</v>
      </c>
      <c r="Q919" s="3" t="s">
        <v>67</v>
      </c>
      <c r="R919" s="3" t="s">
        <v>67</v>
      </c>
      <c r="S919" s="3" t="str">
        <f>"Aug 24-25"</f>
        <v>Aug 24-25</v>
      </c>
    </row>
    <row r="920" spans="1:19" ht="26.25" x14ac:dyDescent="0.25">
      <c r="A920" s="1">
        <v>41155</v>
      </c>
      <c r="B920" s="1">
        <v>41156</v>
      </c>
      <c r="C920" s="2">
        <f t="shared" si="36"/>
        <v>2</v>
      </c>
      <c r="D920" s="6" t="s">
        <v>3881</v>
      </c>
      <c r="E920" s="3" t="s">
        <v>3882</v>
      </c>
      <c r="F920" s="4" t="s">
        <v>67</v>
      </c>
      <c r="G920" s="3" t="s">
        <v>3883</v>
      </c>
      <c r="H920" s="3"/>
      <c r="I920" s="3" t="s">
        <v>3103</v>
      </c>
      <c r="J920" s="3" t="s">
        <v>61</v>
      </c>
      <c r="K920" s="3">
        <v>67070</v>
      </c>
      <c r="L920" s="3" t="s">
        <v>3104</v>
      </c>
      <c r="M920" s="3"/>
      <c r="N920" s="3"/>
      <c r="O920" s="3"/>
      <c r="P920" s="3" t="s">
        <v>3105</v>
      </c>
      <c r="Q920" s="3"/>
      <c r="R920" s="3"/>
      <c r="S920" s="3" t="str">
        <f>"Sep 3-4"</f>
        <v>Sep 3-4</v>
      </c>
    </row>
    <row r="921" spans="1:19" ht="39" x14ac:dyDescent="0.25">
      <c r="A921" s="1">
        <v>41158</v>
      </c>
      <c r="B921" s="1">
        <v>41159</v>
      </c>
      <c r="C921" s="2">
        <f t="shared" si="36"/>
        <v>2</v>
      </c>
      <c r="D921" s="6" t="s">
        <v>3891</v>
      </c>
      <c r="E921" s="3" t="s">
        <v>3892</v>
      </c>
      <c r="F921" s="4" t="s">
        <v>67</v>
      </c>
      <c r="G921" s="3" t="s">
        <v>3893</v>
      </c>
      <c r="H921" s="3"/>
      <c r="I921" s="3" t="s">
        <v>303</v>
      </c>
      <c r="J921" s="3" t="s">
        <v>61</v>
      </c>
      <c r="K921" s="3">
        <v>66502</v>
      </c>
      <c r="L921" s="3" t="s">
        <v>3894</v>
      </c>
      <c r="M921" s="3"/>
      <c r="N921" s="3"/>
      <c r="O921" s="3" t="s">
        <v>3895</v>
      </c>
      <c r="P921" s="3" t="s">
        <v>3896</v>
      </c>
      <c r="Q921" s="3" t="s">
        <v>67</v>
      </c>
      <c r="R921" s="3"/>
      <c r="S921" s="3" t="str">
        <f>"Sep 6-7"</f>
        <v>Sep 6-7</v>
      </c>
    </row>
    <row r="922" spans="1:19" ht="26.25" x14ac:dyDescent="0.25">
      <c r="A922" s="1">
        <v>41159</v>
      </c>
      <c r="B922" s="1">
        <v>41160</v>
      </c>
      <c r="C922" s="2">
        <f t="shared" si="36"/>
        <v>2</v>
      </c>
      <c r="D922" s="6" t="s">
        <v>3901</v>
      </c>
      <c r="E922" s="3" t="s">
        <v>3902</v>
      </c>
      <c r="F922" s="4" t="s">
        <v>67</v>
      </c>
      <c r="G922" s="3" t="s">
        <v>3903</v>
      </c>
      <c r="H922" s="3" t="s">
        <v>3904</v>
      </c>
      <c r="I922" s="3" t="s">
        <v>1303</v>
      </c>
      <c r="J922" s="3" t="s">
        <v>61</v>
      </c>
      <c r="K922" s="3">
        <v>66720</v>
      </c>
      <c r="L922" s="3" t="s">
        <v>1304</v>
      </c>
      <c r="M922" s="3" t="s">
        <v>1305</v>
      </c>
      <c r="N922" s="3"/>
      <c r="O922" s="3" t="s">
        <v>1307</v>
      </c>
      <c r="P922" s="3" t="s">
        <v>1308</v>
      </c>
      <c r="Q922" s="3"/>
      <c r="R922" s="3"/>
      <c r="S922" s="3" t="str">
        <f>"Sep 7-8"</f>
        <v>Sep 7-8</v>
      </c>
    </row>
    <row r="923" spans="1:19" ht="39" x14ac:dyDescent="0.25">
      <c r="A923" s="1">
        <v>41159</v>
      </c>
      <c r="B923" s="1">
        <v>41160</v>
      </c>
      <c r="C923" s="2">
        <f t="shared" si="36"/>
        <v>2</v>
      </c>
      <c r="D923" s="6" t="s">
        <v>3897</v>
      </c>
      <c r="E923" s="3" t="s">
        <v>3898</v>
      </c>
      <c r="F923" s="4" t="s">
        <v>67</v>
      </c>
      <c r="G923" s="3" t="s">
        <v>3899</v>
      </c>
      <c r="H923" s="3" t="s">
        <v>3900</v>
      </c>
      <c r="I923" s="3" t="s">
        <v>993</v>
      </c>
      <c r="J923" s="3" t="s">
        <v>61</v>
      </c>
      <c r="K923" s="3">
        <v>66048</v>
      </c>
      <c r="L923" s="3" t="s">
        <v>2424</v>
      </c>
      <c r="M923" s="3" t="s">
        <v>1889</v>
      </c>
      <c r="N923" s="3" t="s">
        <v>2425</v>
      </c>
      <c r="O923" s="3" t="s">
        <v>2426</v>
      </c>
      <c r="P923" s="3" t="s">
        <v>996</v>
      </c>
      <c r="Q923" s="3" t="s">
        <v>67</v>
      </c>
      <c r="R923" s="3"/>
      <c r="S923" s="3" t="str">
        <f>"Sep 7-8"</f>
        <v>Sep 7-8</v>
      </c>
    </row>
    <row r="924" spans="1:19" ht="39" x14ac:dyDescent="0.25">
      <c r="A924" s="1">
        <v>41167</v>
      </c>
      <c r="B924" s="1">
        <v>41168</v>
      </c>
      <c r="C924" s="2">
        <f t="shared" si="36"/>
        <v>2</v>
      </c>
      <c r="D924" s="6" t="s">
        <v>9</v>
      </c>
      <c r="E924" s="3" t="s">
        <v>3955</v>
      </c>
      <c r="F924" s="4" t="s">
        <v>67</v>
      </c>
      <c r="G924" s="3" t="s">
        <v>3956</v>
      </c>
      <c r="H924" s="3" t="s">
        <v>3659</v>
      </c>
      <c r="I924" s="3" t="s">
        <v>865</v>
      </c>
      <c r="J924" s="3" t="s">
        <v>61</v>
      </c>
      <c r="K924" s="3">
        <v>67601</v>
      </c>
      <c r="L924" s="3" t="s">
        <v>3957</v>
      </c>
      <c r="M924" s="3"/>
      <c r="N924" s="3"/>
      <c r="O924" s="3"/>
      <c r="P924" s="3" t="s">
        <v>3958</v>
      </c>
      <c r="Q924" s="3" t="s">
        <v>67</v>
      </c>
      <c r="R924" s="3"/>
      <c r="S924" s="3" t="str">
        <f>"Sep 15-16"</f>
        <v>Sep 15-16</v>
      </c>
    </row>
    <row r="925" spans="1:19" ht="39" x14ac:dyDescent="0.25">
      <c r="A925" s="1">
        <v>41174</v>
      </c>
      <c r="B925" s="1">
        <v>41175</v>
      </c>
      <c r="C925" s="2">
        <f t="shared" si="36"/>
        <v>2</v>
      </c>
      <c r="D925" s="6" t="s">
        <v>3965</v>
      </c>
      <c r="E925" s="3" t="s">
        <v>3966</v>
      </c>
      <c r="F925" s="4" t="s">
        <v>67</v>
      </c>
      <c r="G925" s="3" t="s">
        <v>3967</v>
      </c>
      <c r="H925" s="3" t="s">
        <v>3968</v>
      </c>
      <c r="I925" s="3" t="s">
        <v>530</v>
      </c>
      <c r="J925" s="3" t="s">
        <v>61</v>
      </c>
      <c r="K925" s="3">
        <v>67460</v>
      </c>
      <c r="L925" s="3" t="s">
        <v>3969</v>
      </c>
      <c r="M925" s="3" t="s">
        <v>2395</v>
      </c>
      <c r="N925" s="3" t="s">
        <v>532</v>
      </c>
      <c r="O925" s="3" t="s">
        <v>3970</v>
      </c>
      <c r="P925" s="3" t="s">
        <v>3971</v>
      </c>
      <c r="Q925" s="3" t="s">
        <v>67</v>
      </c>
      <c r="R925" s="3" t="s">
        <v>67</v>
      </c>
      <c r="S925" s="3" t="str">
        <f>"Sep 22-23"</f>
        <v>Sep 22-23</v>
      </c>
    </row>
    <row r="926" spans="1:19" ht="39" x14ac:dyDescent="0.25">
      <c r="A926" s="1">
        <v>41180</v>
      </c>
      <c r="B926" s="1">
        <v>41181</v>
      </c>
      <c r="C926" s="2">
        <f t="shared" si="36"/>
        <v>2</v>
      </c>
      <c r="D926" s="6" t="s">
        <v>28</v>
      </c>
      <c r="E926" s="3" t="s">
        <v>3980</v>
      </c>
      <c r="F926" s="4" t="s">
        <v>67</v>
      </c>
      <c r="G926" s="3" t="s">
        <v>3981</v>
      </c>
      <c r="H926" s="3" t="s">
        <v>3982</v>
      </c>
      <c r="I926" s="3" t="s">
        <v>1866</v>
      </c>
      <c r="J926" s="3" t="s">
        <v>61</v>
      </c>
      <c r="K926" s="3">
        <v>67104</v>
      </c>
      <c r="L926" s="3" t="s">
        <v>3983</v>
      </c>
      <c r="M926" s="3"/>
      <c r="N926" s="3" t="s">
        <v>3983</v>
      </c>
      <c r="O926" s="3" t="s">
        <v>3984</v>
      </c>
      <c r="P926" s="3" t="s">
        <v>3985</v>
      </c>
      <c r="Q926" s="3" t="s">
        <v>67</v>
      </c>
      <c r="R926" s="3" t="s">
        <v>67</v>
      </c>
      <c r="S926" s="3" t="str">
        <f>"Sep 28-29"</f>
        <v>Sep 28-29</v>
      </c>
    </row>
  </sheetData>
  <sortState ref="A2:S926">
    <sortCondition ref="F2:F926"/>
    <sortCondition descending="1" ref="C2:C926"/>
    <sortCondition ref="A2:A926"/>
  </sortState>
  <conditionalFormatting sqref="C2:C926">
    <cfRule type="cellIs" dxfId="0" priority="1" operator="lessThan">
      <formula>2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KSMGDef</vt:lpstr>
      <vt:lpstr>OtherMG</vt:lpstr>
      <vt:lpstr>Commerce</vt:lpstr>
      <vt:lpstr>KSMGDef!Print_Area</vt:lpstr>
    </vt:vector>
  </TitlesOfParts>
  <Company>KDHE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bhorton</dc:creator>
  <cp:lastModifiedBy>catsadm</cp:lastModifiedBy>
  <cp:lastPrinted>2012-05-30T18:41:42Z</cp:lastPrinted>
  <dcterms:created xsi:type="dcterms:W3CDTF">2011-08-26T14:27:38Z</dcterms:created>
  <dcterms:modified xsi:type="dcterms:W3CDTF">2012-05-30T18:43:19Z</dcterms:modified>
</cp:coreProperties>
</file>