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Classes\2016\Higgins\"/>
    </mc:Choice>
  </mc:AlternateContent>
  <bookViews>
    <workbookView xWindow="0" yWindow="930" windowWidth="19080" windowHeight="7215"/>
  </bookViews>
  <sheets>
    <sheet name="Analysis Worksheets and Calcs" sheetId="1" r:id="rId1"/>
    <sheet name="Scen 3 Breakeven Costs" sheetId="4" r:id="rId2"/>
    <sheet name="Increased Stock Rate Scen 3" sheetId="2" r:id="rId3"/>
    <sheet name="Sheet3" sheetId="3" r:id="rId4"/>
  </sheets>
  <externalReferences>
    <externalReference r:id="rId5"/>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5" i="1" l="1"/>
  <c r="F73" i="1"/>
  <c r="F72" i="1"/>
  <c r="D73" i="1"/>
  <c r="D72" i="1"/>
  <c r="D85" i="1"/>
  <c r="F67" i="1"/>
  <c r="D79" i="1" l="1"/>
  <c r="D67" i="1"/>
  <c r="D66" i="1"/>
  <c r="C37" i="4" l="1"/>
  <c r="C36" i="4"/>
  <c r="C35" i="4"/>
  <c r="B37" i="4"/>
  <c r="B36" i="4"/>
  <c r="B35" i="4"/>
  <c r="M258" i="1"/>
  <c r="L257" i="1"/>
  <c r="M256" i="1"/>
  <c r="L255" i="1"/>
  <c r="M254" i="1"/>
  <c r="L253" i="1"/>
  <c r="K258" i="1"/>
  <c r="J257" i="1"/>
  <c r="K256" i="1"/>
  <c r="J255" i="1"/>
  <c r="K254" i="1"/>
  <c r="J253" i="1"/>
  <c r="L249" i="1"/>
  <c r="M250" i="1"/>
  <c r="M248" i="1"/>
  <c r="L247" i="1"/>
  <c r="M246" i="1"/>
  <c r="L245" i="1"/>
  <c r="M242" i="1"/>
  <c r="L241" i="1"/>
  <c r="M240" i="1"/>
  <c r="L239" i="1"/>
  <c r="M238" i="1"/>
  <c r="J237" i="1"/>
  <c r="L237" i="1"/>
  <c r="K250" i="1"/>
  <c r="J249" i="1"/>
  <c r="K248" i="1"/>
  <c r="J247" i="1"/>
  <c r="K246" i="1"/>
  <c r="J245" i="1"/>
  <c r="J241" i="1"/>
  <c r="K240" i="1"/>
  <c r="J239" i="1"/>
  <c r="K238" i="1"/>
  <c r="K242" i="1"/>
  <c r="M231" i="1"/>
  <c r="L230" i="1"/>
  <c r="M229" i="1"/>
  <c r="L228" i="1"/>
  <c r="M227" i="1"/>
  <c r="L226" i="1"/>
  <c r="K231" i="1"/>
  <c r="J230" i="1"/>
  <c r="K229" i="1"/>
  <c r="J228" i="1"/>
  <c r="K227" i="1"/>
  <c r="J226" i="1"/>
  <c r="M223" i="1"/>
  <c r="L222" i="1"/>
  <c r="M221" i="1"/>
  <c r="L220" i="1"/>
  <c r="M219" i="1"/>
  <c r="L218" i="1"/>
  <c r="M215" i="1"/>
  <c r="L214" i="1"/>
  <c r="M213" i="1"/>
  <c r="L212" i="1"/>
  <c r="M211" i="1"/>
  <c r="L210" i="1"/>
  <c r="K223" i="1"/>
  <c r="J222" i="1"/>
  <c r="K221" i="1"/>
  <c r="J220" i="1"/>
  <c r="K219" i="1"/>
  <c r="J218" i="1"/>
  <c r="K215" i="1"/>
  <c r="J214" i="1"/>
  <c r="K213" i="1"/>
  <c r="J212" i="1"/>
  <c r="K211" i="1"/>
  <c r="J210" i="1"/>
  <c r="B169" i="1" l="1"/>
  <c r="B174" i="1" s="1"/>
  <c r="C169" i="1"/>
  <c r="C174" i="1" s="1"/>
  <c r="C170" i="1"/>
  <c r="C178" i="1" s="1"/>
  <c r="B170" i="1"/>
  <c r="B177" i="1" s="1"/>
  <c r="C176" i="1" l="1"/>
  <c r="C173" i="1"/>
  <c r="B173" i="1"/>
  <c r="B176" i="1"/>
  <c r="B178" i="1"/>
  <c r="B172" i="1"/>
  <c r="C177" i="1"/>
  <c r="C172" i="1"/>
  <c r="F8" i="4"/>
  <c r="E8" i="4"/>
  <c r="D8" i="4"/>
  <c r="C8" i="4"/>
  <c r="B8" i="4"/>
  <c r="P114" i="1"/>
  <c r="P115" i="1"/>
  <c r="N53" i="1"/>
  <c r="N102" i="1" s="1"/>
  <c r="O102" i="1" l="1"/>
  <c r="P102" i="1"/>
  <c r="O103" i="1"/>
  <c r="Q102" i="1"/>
  <c r="N103" i="1"/>
  <c r="Q103" i="1"/>
  <c r="P103" i="1"/>
  <c r="E21" i="3"/>
  <c r="F21" i="3"/>
  <c r="B21" i="3"/>
  <c r="C21" i="3"/>
  <c r="A21" i="3"/>
  <c r="I35" i="1" l="1"/>
  <c r="E35" i="1"/>
  <c r="I34" i="1"/>
  <c r="E34" i="1"/>
  <c r="I33" i="1"/>
  <c r="E33" i="1"/>
  <c r="G35" i="1"/>
  <c r="C35" i="1"/>
  <c r="G34" i="1"/>
  <c r="C34" i="1"/>
  <c r="B34" i="1"/>
  <c r="G33" i="1"/>
  <c r="C33" i="1"/>
  <c r="F35" i="1"/>
  <c r="B35" i="1"/>
  <c r="F34" i="1"/>
  <c r="F33" i="1"/>
  <c r="B33" i="1"/>
  <c r="N7" i="2" l="1"/>
  <c r="N8" i="2"/>
  <c r="N10" i="2"/>
  <c r="N11" i="2"/>
  <c r="N12" i="2"/>
  <c r="J7" i="2"/>
  <c r="J8" i="2"/>
  <c r="J10" i="2"/>
  <c r="J11" i="2"/>
  <c r="J12" i="2"/>
  <c r="F7" i="2"/>
  <c r="F8" i="2"/>
  <c r="F10" i="2"/>
  <c r="F11" i="2"/>
  <c r="F12" i="2"/>
  <c r="M11" i="2"/>
  <c r="M12" i="2"/>
  <c r="M10" i="2"/>
  <c r="I11" i="2"/>
  <c r="I12" i="2"/>
  <c r="I10" i="2"/>
  <c r="E11" i="2"/>
  <c r="E12" i="2"/>
  <c r="E10" i="2"/>
  <c r="N6" i="2"/>
  <c r="M7" i="2"/>
  <c r="M8" i="2"/>
  <c r="M6" i="2"/>
  <c r="J6" i="2"/>
  <c r="I8" i="2"/>
  <c r="I7" i="2"/>
  <c r="I6" i="2"/>
  <c r="F6" i="2"/>
  <c r="E7" i="2"/>
  <c r="E8" i="2"/>
  <c r="E6" i="2"/>
  <c r="D81" i="1" l="1"/>
  <c r="D83" i="1"/>
  <c r="D69" i="1"/>
  <c r="D68" i="1"/>
  <c r="P27" i="1" l="1"/>
  <c r="Q27" i="1" s="1"/>
  <c r="N50" i="1" l="1"/>
  <c r="Q112" i="1" s="1"/>
  <c r="N49" i="1"/>
  <c r="Q111" i="1" s="1"/>
  <c r="N34" i="1" l="1"/>
  <c r="N33" i="1"/>
  <c r="O31" i="1"/>
  <c r="P31" i="1" s="1"/>
  <c r="O30" i="1"/>
  <c r="O33" i="1" s="1"/>
  <c r="P44" i="1"/>
  <c r="P43" i="1"/>
  <c r="P42" i="1"/>
  <c r="F83" i="1" l="1"/>
  <c r="F70" i="1"/>
  <c r="F71" i="1"/>
  <c r="G70" i="1"/>
  <c r="P30" i="1"/>
  <c r="Q30" i="1" s="1"/>
  <c r="P33" i="1"/>
  <c r="Q33" i="1" s="1"/>
  <c r="N100" i="1"/>
  <c r="O99" i="1"/>
  <c r="O100" i="1"/>
  <c r="N99" i="1"/>
  <c r="Q100" i="1"/>
  <c r="Q99" i="1"/>
  <c r="Q31" i="1"/>
  <c r="O34" i="1"/>
  <c r="P34" i="1" s="1"/>
  <c r="Q34" i="1" s="1"/>
  <c r="Q29" i="1"/>
  <c r="P21" i="1"/>
  <c r="F24" i="1"/>
  <c r="F79" i="1" s="1"/>
  <c r="E24" i="1"/>
  <c r="F66" i="1" s="1"/>
  <c r="D24" i="1"/>
  <c r="C24" i="1"/>
  <c r="B24" i="1"/>
  <c r="P36" i="1" l="1"/>
  <c r="G72" i="1"/>
  <c r="M72" i="1" s="1"/>
  <c r="G85" i="1"/>
  <c r="M85" i="1" s="1"/>
  <c r="Q21" i="1"/>
  <c r="O106" i="1"/>
  <c r="O105" i="1"/>
  <c r="P37" i="1"/>
  <c r="H35" i="1"/>
  <c r="D35" i="1"/>
  <c r="H33" i="1"/>
  <c r="D33" i="1"/>
  <c r="H34" i="1"/>
  <c r="D34" i="1"/>
  <c r="G73" i="1"/>
  <c r="M73" i="1" s="1"/>
  <c r="C160" i="1" l="1"/>
  <c r="C162" i="1"/>
  <c r="C161" i="1"/>
  <c r="B160" i="1"/>
  <c r="B162" i="1"/>
  <c r="B161" i="1"/>
  <c r="Q37" i="1"/>
  <c r="Q36" i="1"/>
  <c r="F69" i="1"/>
  <c r="G67" i="1"/>
  <c r="M67" i="1" s="1"/>
  <c r="F68" i="1"/>
  <c r="G66" i="1"/>
  <c r="M66" i="1" s="1"/>
  <c r="B42" i="1"/>
  <c r="C42" i="1" s="1"/>
  <c r="N106" i="1"/>
  <c r="P106" i="1"/>
  <c r="N105" i="1"/>
  <c r="P105" i="1"/>
  <c r="G83" i="1"/>
  <c r="M83" i="1" s="1"/>
  <c r="F81" i="1"/>
  <c r="G81" i="1" s="1"/>
  <c r="M81" i="1" s="1"/>
  <c r="G79" i="1"/>
  <c r="M79" i="1" s="1"/>
  <c r="P26" i="1"/>
  <c r="Q26" i="1" s="1"/>
  <c r="P16" i="1"/>
  <c r="Q16" i="1" s="1"/>
  <c r="P25" i="1"/>
  <c r="P24" i="1"/>
  <c r="Q24" i="1" s="1"/>
  <c r="P15" i="1"/>
  <c r="Q15" i="1" s="1"/>
  <c r="P14" i="1"/>
  <c r="Q14" i="1" s="1"/>
  <c r="P13" i="1"/>
  <c r="Q13" i="1" s="1"/>
  <c r="P12" i="1"/>
  <c r="Q12" i="1" s="1"/>
  <c r="P7" i="1"/>
  <c r="Q7" i="1" s="1"/>
  <c r="P8" i="1"/>
  <c r="Q8" i="1" s="1"/>
  <c r="P9" i="1"/>
  <c r="Q9" i="1" s="1"/>
  <c r="P10" i="1"/>
  <c r="Q10" i="1" s="1"/>
  <c r="P11" i="1"/>
  <c r="Q11" i="1" s="1"/>
  <c r="P6" i="1"/>
  <c r="Q6" i="1" s="1"/>
  <c r="G71" i="1" l="1"/>
  <c r="M71" i="1" s="1"/>
  <c r="G69" i="1"/>
  <c r="M69" i="1" s="1"/>
  <c r="M70" i="1"/>
  <c r="G68" i="1"/>
  <c r="M68" i="1" s="1"/>
  <c r="P28" i="1"/>
  <c r="Q25" i="1"/>
  <c r="Q28" i="1" s="1"/>
  <c r="Q17" i="1"/>
  <c r="B41" i="1" s="1"/>
  <c r="P17" i="1"/>
  <c r="N94" i="1" l="1"/>
  <c r="P93" i="1"/>
  <c r="P94" i="1"/>
  <c r="O93" i="1"/>
  <c r="O94" i="1"/>
  <c r="N93" i="1"/>
  <c r="C43" i="1"/>
  <c r="B43" i="1"/>
  <c r="C41" i="1"/>
  <c r="B44" i="1"/>
  <c r="O97" i="1" l="1"/>
  <c r="P97" i="1"/>
  <c r="N97" i="1"/>
  <c r="C44" i="1"/>
  <c r="C45" i="1" s="1"/>
  <c r="N109" i="1"/>
  <c r="Q109" i="1"/>
  <c r="Q118" i="1" s="1"/>
  <c r="N73" i="1" s="1"/>
  <c r="P108" i="1"/>
  <c r="Q108" i="1"/>
  <c r="Q117" i="1" s="1"/>
  <c r="P109" i="1"/>
  <c r="O108" i="1"/>
  <c r="O109" i="1"/>
  <c r="N108" i="1"/>
  <c r="O96" i="1"/>
  <c r="P96" i="1"/>
  <c r="N96" i="1"/>
  <c r="B45" i="1"/>
  <c r="N85" i="1" l="1"/>
  <c r="N72" i="1"/>
  <c r="O117" i="1"/>
  <c r="N117" i="1"/>
  <c r="P117" i="1"/>
  <c r="N70" i="1" s="1"/>
  <c r="O70" i="1" s="1"/>
  <c r="O72" i="1"/>
  <c r="O73" i="1"/>
  <c r="O118" i="1"/>
  <c r="N69" i="1" s="1"/>
  <c r="N118" i="1"/>
  <c r="P118" i="1"/>
  <c r="N71" i="1" s="1"/>
  <c r="O71" i="1" s="1"/>
  <c r="L148" i="1" l="1"/>
  <c r="N79" i="1"/>
  <c r="N66" i="1"/>
  <c r="H199" i="1"/>
  <c r="J199" i="1"/>
  <c r="I191" i="1"/>
  <c r="I179" i="1"/>
  <c r="H171" i="1"/>
  <c r="I198" i="1"/>
  <c r="H170" i="1"/>
  <c r="J198" i="1"/>
  <c r="I190" i="1"/>
  <c r="I178" i="1"/>
  <c r="J170" i="1"/>
  <c r="H190" i="1"/>
  <c r="H178" i="1"/>
  <c r="I199" i="1"/>
  <c r="J191" i="1"/>
  <c r="H191" i="1"/>
  <c r="J179" i="1"/>
  <c r="H179" i="1"/>
  <c r="J171" i="1"/>
  <c r="I170" i="1"/>
  <c r="J190" i="1"/>
  <c r="J178" i="1"/>
  <c r="I171" i="1"/>
  <c r="H198" i="1"/>
  <c r="O68" i="1"/>
  <c r="N81" i="1"/>
  <c r="N68" i="1"/>
  <c r="N67" i="1"/>
  <c r="J183" i="1"/>
  <c r="H183" i="1"/>
  <c r="J175" i="1"/>
  <c r="H175" i="1"/>
  <c r="I182" i="1"/>
  <c r="I174" i="1"/>
  <c r="J182" i="1"/>
  <c r="H182" i="1"/>
  <c r="J174" i="1"/>
  <c r="H174" i="1"/>
  <c r="I183" i="1"/>
  <c r="I175" i="1"/>
  <c r="D154" i="1"/>
  <c r="L151" i="1"/>
  <c r="O81" i="1"/>
  <c r="L145" i="1"/>
  <c r="L154" i="1"/>
  <c r="D151" i="1"/>
  <c r="O66" i="1"/>
  <c r="O67" i="1"/>
  <c r="D148" i="1"/>
  <c r="O79" i="1"/>
  <c r="D145" i="1"/>
  <c r="N83" i="1"/>
  <c r="O83" i="1" s="1"/>
  <c r="L155" i="1"/>
  <c r="D149" i="1"/>
  <c r="L152" i="1"/>
  <c r="D146" i="1"/>
  <c r="L149" i="1"/>
  <c r="D155" i="1"/>
  <c r="O69" i="1"/>
  <c r="L146" i="1"/>
  <c r="D152" i="1"/>
  <c r="O85" i="1"/>
</calcChain>
</file>

<file path=xl/comments1.xml><?xml version="1.0" encoding="utf-8"?>
<comments xmlns="http://schemas.openxmlformats.org/spreadsheetml/2006/main">
  <authors>
    <author>Todd</author>
  </authors>
  <commentList>
    <comment ref="O27" authorId="0" shapeId="0">
      <text>
        <r>
          <rPr>
            <b/>
            <sz val="9"/>
            <color indexed="81"/>
            <rFont val="Tahoma"/>
            <family val="2"/>
          </rPr>
          <t>Todd:</t>
        </r>
        <r>
          <rPr>
            <sz val="9"/>
            <color indexed="81"/>
            <rFont val="Tahoma"/>
            <family val="2"/>
          </rPr>
          <t xml:space="preserve">
Will vary based on grazing duration.  Need to account for that.</t>
        </r>
      </text>
    </comment>
  </commentList>
</comments>
</file>

<file path=xl/sharedStrings.xml><?xml version="1.0" encoding="utf-8"?>
<sst xmlns="http://schemas.openxmlformats.org/spreadsheetml/2006/main" count="465" uniqueCount="202">
  <si>
    <t>Economics of Cover Crop Grazing</t>
  </si>
  <si>
    <t>Item</t>
  </si>
  <si>
    <t>Unit Cost</t>
  </si>
  <si>
    <t>Quantity Req'd</t>
  </si>
  <si>
    <t>Cost/100 A</t>
  </si>
  <si>
    <t>Steel T- Posts</t>
  </si>
  <si>
    <t>Step-In Posts</t>
  </si>
  <si>
    <t>High Tensile Wire</t>
  </si>
  <si>
    <t>Poly Wire</t>
  </si>
  <si>
    <t>Misc Hardware</t>
  </si>
  <si>
    <t>Concrete Blocks</t>
  </si>
  <si>
    <t>Corral Rental</t>
  </si>
  <si>
    <t>Grounding Rods</t>
  </si>
  <si>
    <t>Fence Charger (Solar)</t>
  </si>
  <si>
    <t>Battery</t>
  </si>
  <si>
    <t>Wire Reels</t>
  </si>
  <si>
    <t>Total Fencing Costs</t>
  </si>
  <si>
    <t>Stock Tanks, 700 gal</t>
  </si>
  <si>
    <t>Water Tank, 1500 gal</t>
  </si>
  <si>
    <t>Labor</t>
  </si>
  <si>
    <t xml:space="preserve">Labor </t>
  </si>
  <si>
    <t>Misc Supplies</t>
  </si>
  <si>
    <t>Scenario 1</t>
  </si>
  <si>
    <t>Cows</t>
  </si>
  <si>
    <t>Steers</t>
  </si>
  <si>
    <t>Animals</t>
  </si>
  <si>
    <t>Scenario 2</t>
  </si>
  <si>
    <t>Scenario 3</t>
  </si>
  <si>
    <t>Scenario 4</t>
  </si>
  <si>
    <t>Period</t>
  </si>
  <si>
    <t>Misc Expenses per 100 Acre Field</t>
  </si>
  <si>
    <t>Steer</t>
  </si>
  <si>
    <t>300 lb</t>
  </si>
  <si>
    <t>400 lb</t>
  </si>
  <si>
    <t>500 lb</t>
  </si>
  <si>
    <t>NOV</t>
  </si>
  <si>
    <t>DEC</t>
  </si>
  <si>
    <t>JAN</t>
  </si>
  <si>
    <t>FEB</t>
  </si>
  <si>
    <t>MAR</t>
  </si>
  <si>
    <t>INCOME/RETURN</t>
  </si>
  <si>
    <t>Sale Price</t>
  </si>
  <si>
    <t xml:space="preserve">Total Receipts On </t>
  </si>
  <si>
    <t>Total Receipts</t>
  </si>
  <si>
    <t>Total Costs</t>
  </si>
  <si>
    <t>600lb</t>
  </si>
  <si>
    <t>120 Days</t>
  </si>
  <si>
    <t>90 Days</t>
  </si>
  <si>
    <t>300-400 lb</t>
  </si>
  <si>
    <t>600-700 lb</t>
  </si>
  <si>
    <t>Cost to Buy Animals**</t>
  </si>
  <si>
    <t>**  Cow weights set at 1000 lbs.</t>
  </si>
  <si>
    <t>Fencing</t>
  </si>
  <si>
    <t>Misc</t>
  </si>
  <si>
    <t>Water</t>
  </si>
  <si>
    <t>Annual Costs*</t>
  </si>
  <si>
    <t>* Material costs amortized over a three-year period</t>
  </si>
  <si>
    <t>Total Watering Material and Labor Costs</t>
  </si>
  <si>
    <t>Replacement</t>
  </si>
  <si>
    <t>$</t>
  </si>
  <si>
    <t>Total Annual</t>
  </si>
  <si>
    <t>Crop Residue/Acre</t>
  </si>
  <si>
    <t>Livestock Mgmt Fee</t>
  </si>
  <si>
    <t>(per head/day)</t>
  </si>
  <si>
    <t>34 head</t>
  </si>
  <si>
    <t>28 head</t>
  </si>
  <si>
    <t xml:space="preserve">Water Hauling Costs </t>
  </si>
  <si>
    <t>90 Days - Transport</t>
  </si>
  <si>
    <t>90 Days - Labor</t>
  </si>
  <si>
    <t>120 Days - Labor</t>
  </si>
  <si>
    <t>120 Days - Transport</t>
  </si>
  <si>
    <t>Gallons Req'd</t>
  </si>
  <si>
    <t>Labor Req'd (Hrs)</t>
  </si>
  <si>
    <t>Total Water Hauling Costs</t>
  </si>
  <si>
    <t>90 Day</t>
  </si>
  <si>
    <t>120 Day</t>
  </si>
  <si>
    <t>Hay/ton (Good Qual)</t>
  </si>
  <si>
    <t>Hay Cost/Day/Cow</t>
  </si>
  <si>
    <t>Corn Stover Value</t>
  </si>
  <si>
    <t>ADG</t>
  </si>
  <si>
    <t>120 Day Gain</t>
  </si>
  <si>
    <t>90 Day Gain</t>
  </si>
  <si>
    <t>Cows + X lb Steers</t>
  </si>
  <si>
    <t>Animal Receipts - Buy November/Sell Feb (90 d) or Mar (120 d)</t>
  </si>
  <si>
    <t>600 lb</t>
  </si>
  <si>
    <t>Scenario</t>
  </si>
  <si>
    <t>Cattle</t>
  </si>
  <si>
    <t>Cropland</t>
  </si>
  <si>
    <t>Owned</t>
  </si>
  <si>
    <t>Bought</t>
  </si>
  <si>
    <t>Leased</t>
  </si>
  <si>
    <t>Cover Crop</t>
  </si>
  <si>
    <t>Yes</t>
  </si>
  <si>
    <t>No</t>
  </si>
  <si>
    <t>Animal Receipts - Buy December/Sell Mar (90 d)</t>
  </si>
  <si>
    <t>Start Wt</t>
  </si>
  <si>
    <t>Buy Nov   90 days</t>
  </si>
  <si>
    <t>Buy Nov 120 days</t>
  </si>
  <si>
    <t>Buy Dec 90 days</t>
  </si>
  <si>
    <t>Increased Profit</t>
  </si>
  <si>
    <t>% Increase</t>
  </si>
  <si>
    <t>Net Returns</t>
  </si>
  <si>
    <t>300-400 lb steers</t>
  </si>
  <si>
    <t>Cow</t>
  </si>
  <si>
    <t>400-500 lb</t>
  </si>
  <si>
    <t>500-600 lb</t>
  </si>
  <si>
    <t>700-800 lb</t>
  </si>
  <si>
    <t>800+</t>
  </si>
  <si>
    <t>* Progressive Cattlemen - Prices for Joplin Regional Stockyard</t>
  </si>
  <si>
    <t xml:space="preserve">* Prices represent average prices per CWT from 1992 to 2011 (Sources:  Schulz, 2016; </t>
  </si>
  <si>
    <t>McKinley and Griffith, 2012)</t>
  </si>
  <si>
    <t>2015/16</t>
  </si>
  <si>
    <t>2016/17</t>
  </si>
  <si>
    <t>Table 3.1.a.  Average Cattle Prices (1992-2011) per CWT by Type and Weight Class*</t>
  </si>
  <si>
    <t>Table 3.1.b.  Average Cattle Prices (2015/16 and 2016/17) per CWT by Type and Weight Class at Joplin Regional Stockyard*</t>
  </si>
  <si>
    <t># Head</t>
  </si>
  <si>
    <t>In</t>
  </si>
  <si>
    <t>Out</t>
  </si>
  <si>
    <t>700 lb</t>
  </si>
  <si>
    <t>800 lb</t>
  </si>
  <si>
    <t>Source:  The Cattle Range, Freight Calculator accessed 18 July 2017 at http://www.cattlerange.com/Tradin-tools/Freight-Calculator/Freight-Calculator.htm</t>
  </si>
  <si>
    <t>Per Acre</t>
  </si>
  <si>
    <t>Annual Fixed Cost Summary Excluding Livestock Costs</t>
  </si>
  <si>
    <t>Cost Type</t>
  </si>
  <si>
    <t>Land Use</t>
  </si>
  <si>
    <t>Corn Stover</t>
  </si>
  <si>
    <t>Miscellaneous</t>
  </si>
  <si>
    <t>Replacement Costs</t>
  </si>
  <si>
    <t>Hay Costs</t>
  </si>
  <si>
    <t>Management Expenses</t>
  </si>
  <si>
    <t xml:space="preserve"> Costs By Duration and Scenario Exclusive of Animal Purchase</t>
  </si>
  <si>
    <t xml:space="preserve">  Cost Element</t>
  </si>
  <si>
    <t>2.5 ADG/300</t>
  </si>
  <si>
    <t>Net Returns-NOV 16</t>
  </si>
  <si>
    <t>Net Returns- DEC 16</t>
  </si>
  <si>
    <t># Animals</t>
  </si>
  <si>
    <t>2.5 ADG</t>
  </si>
  <si>
    <t>2.0  ADG</t>
  </si>
  <si>
    <t>Start at 400 lbs</t>
  </si>
  <si>
    <t>Start at 500 lbs</t>
  </si>
  <si>
    <t>2016/17 Pricing Data</t>
  </si>
  <si>
    <t>Effect of Increasing Animal Units on Net Returns Scenario 1 (Steers Only)</t>
  </si>
  <si>
    <t>Effect of Increasing Animal Units on Net Returns Scenario 2(Steers Only)</t>
  </si>
  <si>
    <t>Nov 120</t>
  </si>
  <si>
    <t>Sale</t>
  </si>
  <si>
    <t>Costs</t>
  </si>
  <si>
    <t>Net50</t>
  </si>
  <si>
    <t>Net75</t>
  </si>
  <si>
    <t>Net100</t>
  </si>
  <si>
    <t>400/2.0</t>
  </si>
  <si>
    <t>500/2.5</t>
  </si>
  <si>
    <t>500/2.0</t>
  </si>
  <si>
    <t>400/2.5 Nov</t>
  </si>
  <si>
    <t>400/2.5 Dec</t>
  </si>
  <si>
    <t>Water Hauling Surcharge for 50, 75, and 100 Steers</t>
  </si>
  <si>
    <t>Costs are the same for Scenarios 1 &amp; 2</t>
  </si>
  <si>
    <t>Numbers in equation account for 3 cows in original cost.</t>
  </si>
  <si>
    <t>Distance</t>
  </si>
  <si>
    <t>Start Weight (lbs.)</t>
  </si>
  <si>
    <t>Transportation Charges for 50, 75, and 100 Steers (In)</t>
  </si>
  <si>
    <t>Transportation Charges for 50, 75, and 100 Steers (Out)</t>
  </si>
  <si>
    <t>Number of Head</t>
  </si>
  <si>
    <t>Start Wt. (lbs.)</t>
  </si>
  <si>
    <t>500 lbs ADG</t>
  </si>
  <si>
    <t>400 lbs ADG</t>
  </si>
  <si>
    <t>81.25/81.25</t>
  </si>
  <si>
    <t>81.25/162.50</t>
  </si>
  <si>
    <t>162.5/162.50</t>
  </si>
  <si>
    <t>162.50/162.50</t>
  </si>
  <si>
    <t>90 d/120 d</t>
  </si>
  <si>
    <t>Purchase Costs for Steers</t>
  </si>
  <si>
    <t>November</t>
  </si>
  <si>
    <t>December</t>
  </si>
  <si>
    <t>Prices by Wt/Mo</t>
  </si>
  <si>
    <t>Head</t>
  </si>
  <si>
    <t>ADG 2.5</t>
  </si>
  <si>
    <t>ADG 2.0</t>
  </si>
  <si>
    <t>Total Costs for 50, 75, and 100 Steers with 500 lb Start Weight (lbs) (DEC Prices)</t>
  </si>
  <si>
    <t>Total Costs for 50, 75, and 100 Steers with 400 lb Start Weight (lbs) (DEC Prices)</t>
  </si>
  <si>
    <t xml:space="preserve">Cattle Receipts </t>
  </si>
  <si>
    <t>400 lbs</t>
  </si>
  <si>
    <t>500 lbs</t>
  </si>
  <si>
    <t>NOV 90 Days</t>
  </si>
  <si>
    <t>NOV 120 Days</t>
  </si>
  <si>
    <t>DEC 90 Days</t>
  </si>
  <si>
    <t>Net Return for Scenario 1</t>
  </si>
  <si>
    <t>Net Return for Scenario 2</t>
  </si>
  <si>
    <t>Effect of Increasing Stocking Rate on Net Returns for Scenario 3</t>
  </si>
  <si>
    <t>No. of Head</t>
  </si>
  <si>
    <t>Grazing Duration</t>
  </si>
  <si>
    <t>Income</t>
  </si>
  <si>
    <t>2.5ADG/300 Buy Wt</t>
  </si>
  <si>
    <t>Table 3.2.a.  Average Cattle Prices (1992-2011) per CWT by Type and Weight Class*</t>
  </si>
  <si>
    <t>Table 3.5.  Fencing Costs per 100 Acre Field</t>
  </si>
  <si>
    <t>Table 3.4.  Watering material and labor costs per 100 acre field</t>
  </si>
  <si>
    <t>Table 3.1.  Average Daily Gain and Total Gain by Grazing Duration</t>
  </si>
  <si>
    <t>Table 3.3.  Land Lease Costs and Management Fees</t>
  </si>
  <si>
    <t>Table 3.6  Hay Feeding Costs</t>
  </si>
  <si>
    <t>Table 3.2.b.  Average Cattle Prices (2015/16 and 2016/17) per CWT by Type and Weight Class at Joplin Regional Stockyard*</t>
  </si>
  <si>
    <t>Table 3.7.  Transportation Costs per Head by Weight</t>
  </si>
  <si>
    <t>Table 4.2.  Effects of Increasing Stocking Rates on Net Returns for Scenarios 1 &amp; 2</t>
  </si>
  <si>
    <t>Table 4.4.  Scenario 3 Breakeven Mgmt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</si>
</sst>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_);[Red]\(&quot;$&quot;#,##0\)"/>
    <numFmt numFmtId="8" formatCode="&quot;$&quot;#,##0.00_);[Red]\(&quot;$&quot;#,##0.00\)"/>
    <numFmt numFmtId="44" formatCode="_(&quot;$&quot;* #,##0.00_);_(&quot;$&quot;* \(#,##0.00\);_(&quot;$&quot;* &quot;-&quot;??_);_(@_)"/>
    <numFmt numFmtId="164" formatCode="_(&quot;$&quot;* #,##0.000_);_(&quot;$&quot;* \(#,##0.000\);_(&quot;$&quot;* &quot;-&quot;??_);_(@_)"/>
    <numFmt numFmtId="165" formatCode="&quot;$&quot;#,##0.00"/>
  </numFmts>
  <fonts count="12" x14ac:knownFonts="1">
    <font>
      <sz val="11"/>
      <color theme="1"/>
      <name val="Calibri"/>
      <family val="2"/>
      <scheme val="minor"/>
    </font>
    <font>
      <sz val="11"/>
      <color theme="1"/>
      <name val="Calibri"/>
      <family val="2"/>
      <scheme val="minor"/>
    </font>
    <font>
      <u/>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b/>
      <u/>
      <sz val="11"/>
      <color theme="1"/>
      <name val="Calibri"/>
      <family val="2"/>
      <scheme val="minor"/>
    </font>
    <font>
      <sz val="10"/>
      <color theme="1"/>
      <name val="Calibri"/>
      <family val="2"/>
      <scheme val="minor"/>
    </font>
    <font>
      <b/>
      <sz val="11"/>
      <name val="Calibri"/>
      <family val="2"/>
      <scheme val="minor"/>
    </font>
    <font>
      <sz val="8"/>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3">
    <xf numFmtId="0" fontId="0" fillId="0" borderId="0"/>
    <xf numFmtId="44" fontId="1" fillId="0" borderId="0" applyFont="0" applyFill="0" applyBorder="0" applyAlignment="0" applyProtection="0"/>
    <xf numFmtId="0" fontId="4" fillId="0" borderId="0"/>
  </cellStyleXfs>
  <cellXfs count="113">
    <xf numFmtId="0" fontId="0" fillId="0" borderId="0" xfId="0"/>
    <xf numFmtId="0" fontId="2" fillId="0" borderId="0" xfId="0" applyFont="1"/>
    <xf numFmtId="0" fontId="0" fillId="0" borderId="1" xfId="0" applyBorder="1"/>
    <xf numFmtId="0" fontId="0" fillId="0" borderId="0" xfId="0" applyFill="1" applyBorder="1"/>
    <xf numFmtId="44" fontId="0" fillId="0" borderId="0" xfId="1" applyFont="1"/>
    <xf numFmtId="44" fontId="0" fillId="0" borderId="0" xfId="1" applyFont="1" applyFill="1" applyBorder="1"/>
    <xf numFmtId="0" fontId="0" fillId="0" borderId="0" xfId="0" applyBorder="1"/>
    <xf numFmtId="0" fontId="0" fillId="0" borderId="2" xfId="0" applyBorder="1"/>
    <xf numFmtId="44" fontId="0" fillId="0" borderId="0" xfId="0" applyNumberFormat="1"/>
    <xf numFmtId="0" fontId="0" fillId="0" borderId="2" xfId="0" applyFont="1" applyBorder="1"/>
    <xf numFmtId="0" fontId="3" fillId="0" borderId="0" xfId="0" applyFont="1"/>
    <xf numFmtId="0" fontId="3" fillId="0" borderId="1" xfId="0" applyFont="1" applyBorder="1"/>
    <xf numFmtId="0" fontId="3" fillId="0" borderId="3" xfId="0" applyFont="1" applyBorder="1" applyAlignment="1">
      <alignment wrapText="1"/>
    </xf>
    <xf numFmtId="0" fontId="0" fillId="0" borderId="4" xfId="0" applyBorder="1"/>
    <xf numFmtId="0" fontId="0" fillId="0" borderId="5" xfId="0" applyBorder="1"/>
    <xf numFmtId="0" fontId="3" fillId="0" borderId="6" xfId="0" applyFont="1" applyBorder="1"/>
    <xf numFmtId="0" fontId="3" fillId="0" borderId="7" xfId="0" applyFont="1" applyFill="1" applyBorder="1"/>
    <xf numFmtId="0" fontId="0" fillId="0" borderId="1" xfId="0" applyFill="1" applyBorder="1"/>
    <xf numFmtId="44" fontId="0" fillId="0" borderId="1" xfId="0" applyNumberFormat="1" applyBorder="1"/>
    <xf numFmtId="0" fontId="3" fillId="0" borderId="0" xfId="0" applyFont="1" applyFill="1" applyBorder="1"/>
    <xf numFmtId="44" fontId="3" fillId="0" borderId="0" xfId="0" applyNumberFormat="1" applyFont="1"/>
    <xf numFmtId="0" fontId="3" fillId="0" borderId="2" xfId="0" applyFont="1" applyBorder="1"/>
    <xf numFmtId="2" fontId="7" fillId="0" borderId="1" xfId="2" applyNumberFormat="1" applyFont="1" applyBorder="1"/>
    <xf numFmtId="0" fontId="0" fillId="0" borderId="1" xfId="0" applyFont="1" applyBorder="1"/>
    <xf numFmtId="2" fontId="0" fillId="0" borderId="1" xfId="0" applyNumberFormat="1" applyFont="1" applyBorder="1"/>
    <xf numFmtId="44" fontId="0" fillId="0" borderId="1" xfId="1" applyFont="1" applyBorder="1"/>
    <xf numFmtId="164" fontId="0" fillId="0" borderId="1" xfId="1" applyNumberFormat="1" applyFont="1" applyBorder="1"/>
    <xf numFmtId="0" fontId="8" fillId="0" borderId="0" xfId="0" applyFont="1"/>
    <xf numFmtId="0" fontId="3" fillId="0" borderId="1" xfId="0" applyFont="1" applyFill="1" applyBorder="1"/>
    <xf numFmtId="8" fontId="0" fillId="0" borderId="1" xfId="0" applyNumberFormat="1" applyBorder="1"/>
    <xf numFmtId="0" fontId="3" fillId="2" borderId="1" xfId="0" applyFont="1" applyFill="1" applyBorder="1"/>
    <xf numFmtId="0" fontId="9" fillId="0" borderId="1" xfId="0" applyFont="1" applyBorder="1"/>
    <xf numFmtId="8" fontId="3" fillId="0" borderId="1" xfId="0" applyNumberFormat="1" applyFont="1" applyBorder="1"/>
    <xf numFmtId="0" fontId="0" fillId="0" borderId="8" xfId="0" applyBorder="1"/>
    <xf numFmtId="44" fontId="0" fillId="0" borderId="8" xfId="0" applyNumberFormat="1" applyBorder="1"/>
    <xf numFmtId="44" fontId="3" fillId="0" borderId="1" xfId="0" applyNumberFormat="1" applyFont="1" applyBorder="1"/>
    <xf numFmtId="6" fontId="0" fillId="0" borderId="1" xfId="0" applyNumberFormat="1" applyBorder="1"/>
    <xf numFmtId="0" fontId="3" fillId="0" borderId="1" xfId="0" applyFont="1" applyBorder="1" applyAlignment="1">
      <alignment wrapText="1"/>
    </xf>
    <xf numFmtId="0" fontId="0" fillId="2" borderId="1" xfId="0" applyFill="1" applyBorder="1"/>
    <xf numFmtId="2" fontId="0" fillId="0" borderId="0" xfId="0" applyNumberFormat="1"/>
    <xf numFmtId="0" fontId="0" fillId="0" borderId="0" xfId="0" applyFont="1" applyBorder="1"/>
    <xf numFmtId="0" fontId="0" fillId="0" borderId="0" xfId="0" applyFont="1" applyFill="1" applyBorder="1"/>
    <xf numFmtId="0" fontId="3" fillId="0" borderId="8" xfId="0" applyFont="1" applyBorder="1"/>
    <xf numFmtId="0" fontId="3" fillId="0" borderId="8" xfId="0" applyFont="1" applyFill="1" applyBorder="1"/>
    <xf numFmtId="0" fontId="0" fillId="0" borderId="0" xfId="0" applyAlignment="1">
      <alignment wrapText="1"/>
    </xf>
    <xf numFmtId="0" fontId="0" fillId="0" borderId="3" xfId="0" applyBorder="1"/>
    <xf numFmtId="44" fontId="0" fillId="0" borderId="1" xfId="1" applyFont="1" applyFill="1" applyBorder="1"/>
    <xf numFmtId="44" fontId="0" fillId="0" borderId="1" xfId="0" applyNumberFormat="1" applyFont="1" applyBorder="1"/>
    <xf numFmtId="44" fontId="0" fillId="0" borderId="8" xfId="1" applyFont="1" applyBorder="1"/>
    <xf numFmtId="0" fontId="3" fillId="0" borderId="0" xfId="0" applyFont="1" applyBorder="1"/>
    <xf numFmtId="0" fontId="0" fillId="0" borderId="6" xfId="0" applyBorder="1"/>
    <xf numFmtId="2" fontId="0" fillId="0" borderId="1" xfId="0" applyNumberFormat="1" applyBorder="1"/>
    <xf numFmtId="0" fontId="3" fillId="0" borderId="1" xfId="0" applyFont="1" applyBorder="1" applyAlignment="1">
      <alignment horizontal="center"/>
    </xf>
    <xf numFmtId="165" fontId="0" fillId="0" borderId="1" xfId="1" applyNumberFormat="1" applyFont="1" applyBorder="1"/>
    <xf numFmtId="0" fontId="11" fillId="0" borderId="0" xfId="0" applyFont="1"/>
    <xf numFmtId="0" fontId="0" fillId="0" borderId="0" xfId="0" applyFill="1"/>
    <xf numFmtId="0" fontId="10" fillId="0" borderId="0" xfId="0" applyFont="1" applyFill="1"/>
    <xf numFmtId="0" fontId="7" fillId="0" borderId="0" xfId="0" applyFont="1" applyFill="1"/>
    <xf numFmtId="0" fontId="3" fillId="0" borderId="1" xfId="0" applyFont="1" applyBorder="1" applyAlignment="1">
      <alignment horizontal="center"/>
    </xf>
    <xf numFmtId="0" fontId="3" fillId="0" borderId="0" xfId="0" applyFont="1" applyFill="1"/>
    <xf numFmtId="6" fontId="0" fillId="0" borderId="0" xfId="0" applyNumberFormat="1"/>
    <xf numFmtId="165" fontId="0" fillId="0" borderId="0" xfId="0" applyNumberFormat="1"/>
    <xf numFmtId="0" fontId="0" fillId="0" borderId="1" xfId="0" applyBorder="1" applyAlignment="1">
      <alignment horizontal="center"/>
    </xf>
    <xf numFmtId="165" fontId="0" fillId="0" borderId="1" xfId="0" applyNumberFormat="1" applyBorder="1"/>
    <xf numFmtId="0" fontId="0" fillId="0" borderId="9" xfId="0" applyBorder="1" applyAlignment="1">
      <alignment horizontal="center"/>
    </xf>
    <xf numFmtId="165" fontId="0" fillId="0" borderId="9" xfId="0" applyNumberFormat="1" applyBorder="1"/>
    <xf numFmtId="0" fontId="0" fillId="0" borderId="1" xfId="0" applyBorder="1" applyAlignment="1">
      <alignment wrapText="1"/>
    </xf>
    <xf numFmtId="17" fontId="0" fillId="0" borderId="1" xfId="0" applyNumberFormat="1" applyBorder="1"/>
    <xf numFmtId="17" fontId="0" fillId="0" borderId="0" xfId="0" applyNumberFormat="1"/>
    <xf numFmtId="0" fontId="3" fillId="0" borderId="1" xfId="0" applyFont="1" applyBorder="1" applyAlignment="1">
      <alignment horizontal="center"/>
    </xf>
    <xf numFmtId="0" fontId="0" fillId="0" borderId="0" xfId="0" applyBorder="1" applyAlignment="1"/>
    <xf numFmtId="0" fontId="0" fillId="0" borderId="0" xfId="0" applyBorder="1" applyAlignment="1">
      <alignment wrapText="1"/>
    </xf>
    <xf numFmtId="165" fontId="0" fillId="0" borderId="0" xfId="0" applyNumberFormat="1" applyBorder="1"/>
    <xf numFmtId="0" fontId="0" fillId="3" borderId="1" xfId="0" applyFill="1" applyBorder="1"/>
    <xf numFmtId="0" fontId="0" fillId="4" borderId="1" xfId="0" applyFill="1" applyBorder="1"/>
    <xf numFmtId="0" fontId="0" fillId="5" borderId="10" xfId="0" applyFill="1" applyBorder="1"/>
    <xf numFmtId="0" fontId="0" fillId="5" borderId="11" xfId="0" applyFill="1" applyBorder="1"/>
    <xf numFmtId="0" fontId="0" fillId="5" borderId="12" xfId="0" applyFill="1" applyBorder="1"/>
    <xf numFmtId="0" fontId="0" fillId="5" borderId="13" xfId="0" applyFill="1" applyBorder="1"/>
    <xf numFmtId="0" fontId="0" fillId="5" borderId="14" xfId="0" applyFill="1" applyBorder="1"/>
    <xf numFmtId="0" fontId="0" fillId="5" borderId="0" xfId="0" applyFill="1" applyBorder="1"/>
    <xf numFmtId="0" fontId="0" fillId="5" borderId="15" xfId="0" applyFill="1" applyBorder="1"/>
    <xf numFmtId="0" fontId="0" fillId="5" borderId="8" xfId="0" applyFill="1" applyBorder="1"/>
    <xf numFmtId="0" fontId="0" fillId="5" borderId="1" xfId="0" applyFill="1" applyBorder="1"/>
    <xf numFmtId="0" fontId="3" fillId="5" borderId="1" xfId="0" applyFont="1" applyFill="1" applyBorder="1"/>
    <xf numFmtId="0" fontId="3" fillId="5" borderId="8" xfId="0" applyFont="1" applyFill="1" applyBorder="1"/>
    <xf numFmtId="0" fontId="0" fillId="5" borderId="8" xfId="0" applyFill="1" applyBorder="1" applyAlignment="1">
      <alignment wrapText="1"/>
    </xf>
    <xf numFmtId="0" fontId="0" fillId="5" borderId="1" xfId="0" applyFill="1" applyBorder="1" applyAlignment="1">
      <alignment wrapText="1"/>
    </xf>
    <xf numFmtId="0" fontId="0" fillId="5" borderId="1" xfId="0" applyFont="1" applyFill="1" applyBorder="1" applyAlignment="1">
      <alignment wrapText="1"/>
    </xf>
    <xf numFmtId="0" fontId="0" fillId="5" borderId="0" xfId="0" applyFill="1" applyBorder="1" applyAlignment="1">
      <alignment wrapText="1"/>
    </xf>
    <xf numFmtId="2" fontId="0" fillId="5" borderId="1" xfId="0" applyNumberFormat="1" applyFill="1" applyBorder="1"/>
    <xf numFmtId="44" fontId="0" fillId="5" borderId="1" xfId="1" applyFont="1" applyFill="1" applyBorder="1"/>
    <xf numFmtId="165" fontId="0" fillId="5" borderId="1" xfId="0" applyNumberFormat="1" applyFill="1" applyBorder="1"/>
    <xf numFmtId="44" fontId="0" fillId="5" borderId="1" xfId="0" applyNumberFormat="1" applyFill="1" applyBorder="1"/>
    <xf numFmtId="0" fontId="0" fillId="5" borderId="3" xfId="0" applyFill="1" applyBorder="1"/>
    <xf numFmtId="2" fontId="0" fillId="5" borderId="3" xfId="0" applyNumberFormat="1" applyFill="1" applyBorder="1"/>
    <xf numFmtId="44" fontId="0" fillId="5" borderId="3" xfId="1" applyFont="1" applyFill="1" applyBorder="1"/>
    <xf numFmtId="165" fontId="0" fillId="5" borderId="3" xfId="0" applyNumberFormat="1" applyFill="1" applyBorder="1"/>
    <xf numFmtId="44" fontId="0" fillId="5" borderId="3" xfId="0" applyNumberFormat="1" applyFill="1" applyBorder="1"/>
    <xf numFmtId="0" fontId="0" fillId="5" borderId="16" xfId="0" applyFill="1" applyBorder="1"/>
    <xf numFmtId="0" fontId="0" fillId="5" borderId="17" xfId="0" applyFill="1" applyBorder="1"/>
    <xf numFmtId="0" fontId="0" fillId="5" borderId="1" xfId="0" applyFont="1" applyFill="1" applyBorder="1"/>
    <xf numFmtId="0" fontId="3" fillId="0" borderId="6"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center"/>
    </xf>
    <xf numFmtId="0" fontId="0" fillId="0" borderId="3"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 xfId="0" applyBorder="1" applyAlignment="1"/>
    <xf numFmtId="0" fontId="0" fillId="0" borderId="6" xfId="0" applyBorder="1" applyAlignment="1">
      <alignment horizontal="center"/>
    </xf>
    <xf numFmtId="0" fontId="0" fillId="0" borderId="4" xfId="0" applyBorder="1" applyAlignment="1">
      <alignment horizontal="center"/>
    </xf>
    <xf numFmtId="0" fontId="0" fillId="0" borderId="5" xfId="0" applyBorder="1" applyAlignment="1">
      <alignment horizontal="center"/>
    </xf>
  </cellXfs>
  <cellStyles count="3">
    <cellStyle name="Currency" xfId="1" builtinId="4"/>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1000124</xdr:colOff>
      <xdr:row>54</xdr:row>
      <xdr:rowOff>47625</xdr:rowOff>
    </xdr:from>
    <xdr:ext cx="12553951" cy="1125693"/>
    <xdr:sp macro="" textlink="">
      <xdr:nvSpPr>
        <xdr:cNvPr id="2" name="TextBox 1"/>
        <xdr:cNvSpPr txBox="1"/>
      </xdr:nvSpPr>
      <xdr:spPr>
        <a:xfrm>
          <a:off x="1000124" y="10715625"/>
          <a:ext cx="12553951" cy="112569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The budget highlighted in blue incorporates the income and cost factors</a:t>
          </a:r>
          <a:r>
            <a:rPr lang="en-US" sz="1100" baseline="0"/>
            <a:t> tabulated from other data tables on this sheet and computes total receipts, total costs, and net returns for each of the four scenarios. The top budget calculates the net returns for cattle grazing cover crops under each scenario beginning in November and is divided into 90 and 120 day grazing periods.  The lower budget calculates the net returns when cattle begin grazing in December and graze for 90 days.  Since cattle prices are on a century weight (CWT) basis, the buy/sell weights of the cattle are listed as their start/end weight divided by 100.  Thus, in the equation in cell F26 the steer's end weight is 5.25: a 300 lb. start weight + 225 lbs. of gain = 525 lbs/100 lbs = 5.25.  The Toal Costs include the material costs (fencing and water), water hauling costs, transportation costs, miscellaneous costs, purchase price of the animals (either purchase or opportunity cost for retaining them past the start date), and an interst charge on the costs.  </a:t>
          </a:r>
        </a:p>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odd\Documents\KSU%20MAB\Thesis\Todd's%20Copy%20of%20Historic%20Cattle%20Prices%20Sept-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oice Steers"/>
      <sheetName val="Cows"/>
      <sheetName val="Steer Calves"/>
      <sheetName val="Steer Feeders"/>
      <sheetName val="Heifer Calves"/>
      <sheetName val="Heifer Feeders"/>
    </sheetNames>
    <sheetDataSet>
      <sheetData sheetId="0"/>
      <sheetData sheetId="1"/>
      <sheetData sheetId="2">
        <row r="5">
          <cell r="C5">
            <v>88.43</v>
          </cell>
          <cell r="D5">
            <v>92.59</v>
          </cell>
          <cell r="E5">
            <v>94.73</v>
          </cell>
          <cell r="M5">
            <v>90.53</v>
          </cell>
          <cell r="N5">
            <v>90.83</v>
          </cell>
        </row>
        <row r="6">
          <cell r="C6">
            <v>95.21</v>
          </cell>
          <cell r="D6">
            <v>96.33</v>
          </cell>
          <cell r="E6">
            <v>100.82</v>
          </cell>
          <cell r="M6">
            <v>91.79</v>
          </cell>
          <cell r="N6">
            <v>92.63</v>
          </cell>
        </row>
        <row r="7">
          <cell r="C7">
            <v>91.85</v>
          </cell>
          <cell r="D7">
            <v>95.89</v>
          </cell>
          <cell r="E7">
            <v>99.85</v>
          </cell>
          <cell r="M7">
            <v>83.53</v>
          </cell>
          <cell r="N7">
            <v>84.5</v>
          </cell>
        </row>
        <row r="8">
          <cell r="C8">
            <v>84.83</v>
          </cell>
          <cell r="D8">
            <v>85.17</v>
          </cell>
          <cell r="E8">
            <v>83.64</v>
          </cell>
          <cell r="M8">
            <v>63.14</v>
          </cell>
          <cell r="N8">
            <v>64.63</v>
          </cell>
        </row>
        <row r="9">
          <cell r="C9">
            <v>60.94</v>
          </cell>
          <cell r="D9">
            <v>61.35</v>
          </cell>
          <cell r="E9">
            <v>61.44</v>
          </cell>
          <cell r="M9">
            <v>67.319999999999993</v>
          </cell>
          <cell r="N9">
            <v>68.86</v>
          </cell>
        </row>
        <row r="10">
          <cell r="C10">
            <v>72.83</v>
          </cell>
          <cell r="D10">
            <v>80.27</v>
          </cell>
          <cell r="E10">
            <v>86.31</v>
          </cell>
          <cell r="M10">
            <v>87</v>
          </cell>
          <cell r="N10">
            <v>88.71</v>
          </cell>
        </row>
        <row r="11">
          <cell r="C11">
            <v>87.76</v>
          </cell>
          <cell r="D11">
            <v>89.37</v>
          </cell>
          <cell r="E11">
            <v>91.6</v>
          </cell>
          <cell r="M11">
            <v>76.75</v>
          </cell>
          <cell r="N11">
            <v>78.349999999999994</v>
          </cell>
        </row>
        <row r="12">
          <cell r="C12">
            <v>81.87</v>
          </cell>
          <cell r="D12">
            <v>84.37</v>
          </cell>
          <cell r="E12">
            <v>88.46</v>
          </cell>
          <cell r="M12">
            <v>92.59</v>
          </cell>
          <cell r="N12">
            <v>96.55</v>
          </cell>
        </row>
        <row r="13">
          <cell r="C13">
            <v>98.22</v>
          </cell>
          <cell r="D13">
            <v>101.27</v>
          </cell>
          <cell r="E13">
            <v>104.53</v>
          </cell>
          <cell r="M13">
            <v>96.17</v>
          </cell>
          <cell r="N13">
            <v>97.85</v>
          </cell>
        </row>
        <row r="14">
          <cell r="C14">
            <v>100.14</v>
          </cell>
          <cell r="D14">
            <v>102.9</v>
          </cell>
          <cell r="E14">
            <v>106.96</v>
          </cell>
          <cell r="M14">
            <v>93.98</v>
          </cell>
          <cell r="N14">
            <v>97.85</v>
          </cell>
        </row>
        <row r="15">
          <cell r="C15">
            <v>95.75</v>
          </cell>
          <cell r="D15">
            <v>98.63</v>
          </cell>
          <cell r="E15">
            <v>97.56</v>
          </cell>
          <cell r="M15">
            <v>90.06</v>
          </cell>
          <cell r="N15">
            <v>92.26</v>
          </cell>
        </row>
        <row r="16">
          <cell r="C16">
            <v>93.78</v>
          </cell>
          <cell r="D16">
            <v>94.12</v>
          </cell>
          <cell r="E16">
            <v>95.56</v>
          </cell>
          <cell r="M16">
            <v>108.75</v>
          </cell>
          <cell r="N16">
            <v>108.29</v>
          </cell>
        </row>
        <row r="17">
          <cell r="C17">
            <v>103.11</v>
          </cell>
          <cell r="D17">
            <v>106.43</v>
          </cell>
          <cell r="E17">
            <v>113.62</v>
          </cell>
          <cell r="M17">
            <v>125.53</v>
          </cell>
          <cell r="N17">
            <v>122.78</v>
          </cell>
        </row>
        <row r="18">
          <cell r="C18">
            <v>119.45</v>
          </cell>
          <cell r="D18">
            <v>125.04</v>
          </cell>
          <cell r="E18">
            <v>132.87</v>
          </cell>
          <cell r="M18">
            <v>132.43</v>
          </cell>
          <cell r="N18">
            <v>129.51</v>
          </cell>
        </row>
        <row r="19">
          <cell r="C19">
            <v>133.51</v>
          </cell>
          <cell r="D19">
            <v>133.81</v>
          </cell>
          <cell r="E19">
            <v>133.97999999999999</v>
          </cell>
          <cell r="M19">
            <v>114.43</v>
          </cell>
          <cell r="N19">
            <v>114.67</v>
          </cell>
        </row>
        <row r="20">
          <cell r="C20">
            <v>109.14</v>
          </cell>
          <cell r="D20">
            <v>119.3</v>
          </cell>
          <cell r="E20">
            <v>124.45</v>
          </cell>
          <cell r="M20">
            <v>118.2</v>
          </cell>
          <cell r="N20">
            <v>115.82</v>
          </cell>
        </row>
        <row r="21">
          <cell r="C21">
            <v>115.77</v>
          </cell>
          <cell r="D21">
            <v>121.21</v>
          </cell>
          <cell r="E21">
            <v>121.55</v>
          </cell>
          <cell r="M21">
            <v>107.22</v>
          </cell>
          <cell r="N21">
            <v>97.9</v>
          </cell>
        </row>
        <row r="22">
          <cell r="C22">
            <v>107.13</v>
          </cell>
          <cell r="D22">
            <v>107.47</v>
          </cell>
          <cell r="E22">
            <v>108.94</v>
          </cell>
          <cell r="M22">
            <v>105.91</v>
          </cell>
          <cell r="N22">
            <v>106.15</v>
          </cell>
        </row>
        <row r="23">
          <cell r="C23">
            <v>108.31</v>
          </cell>
          <cell r="D23">
            <v>115.33</v>
          </cell>
          <cell r="E23">
            <v>122.31</v>
          </cell>
          <cell r="M23">
            <v>123.62</v>
          </cell>
          <cell r="N23">
            <v>133.47999999999999</v>
          </cell>
        </row>
        <row r="24">
          <cell r="C24">
            <v>139.01</v>
          </cell>
          <cell r="D24">
            <v>146.82</v>
          </cell>
          <cell r="E24">
            <v>157.26</v>
          </cell>
          <cell r="M24">
            <v>156.38</v>
          </cell>
          <cell r="N24">
            <v>161.05000000000001</v>
          </cell>
        </row>
        <row r="25">
          <cell r="C25">
            <v>175.72</v>
          </cell>
          <cell r="D25">
            <v>186.45</v>
          </cell>
          <cell r="E25">
            <v>191.72</v>
          </cell>
          <cell r="M25">
            <v>160.31</v>
          </cell>
          <cell r="N25">
            <v>159.31</v>
          </cell>
        </row>
        <row r="26">
          <cell r="C26">
            <v>172.82</v>
          </cell>
          <cell r="D26">
            <v>173.25</v>
          </cell>
          <cell r="E26">
            <v>167.95</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58"/>
  <sheetViews>
    <sheetView tabSelected="1" topLeftCell="A55" workbookViewId="0">
      <selection activeCell="F66" sqref="F66"/>
    </sheetView>
  </sheetViews>
  <sheetFormatPr defaultRowHeight="15" x14ac:dyDescent="0.25"/>
  <cols>
    <col min="1" max="1" width="15.140625" customWidth="1"/>
    <col min="2" max="2" width="13.140625" customWidth="1"/>
    <col min="3" max="3" width="13" customWidth="1"/>
    <col min="4" max="5" width="13.28515625" customWidth="1"/>
    <col min="6" max="6" width="11" customWidth="1"/>
    <col min="7" max="7" width="16.5703125" customWidth="1"/>
    <col min="8" max="8" width="14.28515625" customWidth="1"/>
    <col min="9" max="9" width="13.42578125" customWidth="1"/>
    <col min="10" max="10" width="12" customWidth="1"/>
    <col min="11" max="11" width="10" customWidth="1"/>
    <col min="12" max="12" width="10.7109375" customWidth="1"/>
    <col min="13" max="13" width="21.140625" customWidth="1"/>
    <col min="14" max="14" width="11.5703125" bestFit="1" customWidth="1"/>
    <col min="15" max="16" width="14.7109375" customWidth="1"/>
    <col min="17" max="17" width="12" customWidth="1"/>
  </cols>
  <sheetData>
    <row r="1" spans="1:17" x14ac:dyDescent="0.25">
      <c r="A1" t="s">
        <v>0</v>
      </c>
    </row>
    <row r="3" spans="1:17" x14ac:dyDescent="0.25">
      <c r="A3" s="11" t="s">
        <v>85</v>
      </c>
      <c r="B3" s="11" t="s">
        <v>86</v>
      </c>
      <c r="C3" s="11" t="s">
        <v>87</v>
      </c>
      <c r="D3" s="11" t="s">
        <v>91</v>
      </c>
      <c r="M3" s="27" t="s">
        <v>193</v>
      </c>
    </row>
    <row r="4" spans="1:17" x14ac:dyDescent="0.25">
      <c r="A4" s="2">
        <v>1</v>
      </c>
      <c r="B4" s="2" t="s">
        <v>88</v>
      </c>
      <c r="C4" s="23" t="s">
        <v>88</v>
      </c>
      <c r="D4" s="23" t="s">
        <v>92</v>
      </c>
      <c r="E4" s="40"/>
      <c r="F4" s="40"/>
      <c r="G4" s="41"/>
    </row>
    <row r="5" spans="1:17" x14ac:dyDescent="0.25">
      <c r="A5" s="2">
        <v>2</v>
      </c>
      <c r="B5" s="2" t="s">
        <v>89</v>
      </c>
      <c r="C5" s="2" t="s">
        <v>88</v>
      </c>
      <c r="D5" s="2" t="s">
        <v>92</v>
      </c>
      <c r="M5" s="11" t="s">
        <v>1</v>
      </c>
      <c r="N5" s="11" t="s">
        <v>2</v>
      </c>
      <c r="O5" s="11" t="s">
        <v>3</v>
      </c>
      <c r="P5" s="11" t="s">
        <v>4</v>
      </c>
      <c r="Q5" s="28" t="s">
        <v>55</v>
      </c>
    </row>
    <row r="6" spans="1:17" x14ac:dyDescent="0.25">
      <c r="A6" s="2">
        <v>3</v>
      </c>
      <c r="B6" s="2" t="s">
        <v>88</v>
      </c>
      <c r="C6" s="2" t="s">
        <v>90</v>
      </c>
      <c r="D6" s="2" t="s">
        <v>92</v>
      </c>
      <c r="M6" s="2" t="s">
        <v>5</v>
      </c>
      <c r="N6" s="25">
        <v>3.69</v>
      </c>
      <c r="O6" s="2">
        <v>265</v>
      </c>
      <c r="P6" s="25">
        <f>N6*O6</f>
        <v>977.85</v>
      </c>
      <c r="Q6" s="18">
        <f>P6/3</f>
        <v>325.95</v>
      </c>
    </row>
    <row r="7" spans="1:17" x14ac:dyDescent="0.25">
      <c r="A7" s="2">
        <v>4</v>
      </c>
      <c r="B7" s="2" t="s">
        <v>88</v>
      </c>
      <c r="C7" s="2" t="s">
        <v>88</v>
      </c>
      <c r="D7" s="2" t="s">
        <v>93</v>
      </c>
      <c r="M7" s="2" t="s">
        <v>6</v>
      </c>
      <c r="N7" s="25">
        <v>2</v>
      </c>
      <c r="O7" s="2">
        <v>3776</v>
      </c>
      <c r="P7" s="25">
        <f t="shared" ref="P7:P14" si="0">N7*O7</f>
        <v>7552</v>
      </c>
      <c r="Q7" s="18">
        <f t="shared" ref="Q7:Q15" si="1">P7/3</f>
        <v>2517.3333333333335</v>
      </c>
    </row>
    <row r="8" spans="1:17" x14ac:dyDescent="0.25">
      <c r="M8" s="2" t="s">
        <v>7</v>
      </c>
      <c r="N8" s="25">
        <v>110</v>
      </c>
      <c r="O8" s="2">
        <v>7</v>
      </c>
      <c r="P8" s="25">
        <f t="shared" si="0"/>
        <v>770</v>
      </c>
      <c r="Q8" s="18">
        <f t="shared" si="1"/>
        <v>256.66666666666669</v>
      </c>
    </row>
    <row r="9" spans="1:17" x14ac:dyDescent="0.25">
      <c r="M9" s="2" t="s">
        <v>8</v>
      </c>
      <c r="N9" s="25">
        <v>29</v>
      </c>
      <c r="O9" s="2">
        <v>3</v>
      </c>
      <c r="P9" s="25">
        <f t="shared" si="0"/>
        <v>87</v>
      </c>
      <c r="Q9" s="18">
        <f t="shared" si="1"/>
        <v>29</v>
      </c>
    </row>
    <row r="10" spans="1:17" x14ac:dyDescent="0.25">
      <c r="M10" s="2" t="s">
        <v>9</v>
      </c>
      <c r="N10" s="25">
        <v>350</v>
      </c>
      <c r="O10" s="2">
        <v>1</v>
      </c>
      <c r="P10" s="25">
        <f t="shared" si="0"/>
        <v>350</v>
      </c>
      <c r="Q10" s="18">
        <f t="shared" si="1"/>
        <v>116.66666666666667</v>
      </c>
    </row>
    <row r="11" spans="1:17" x14ac:dyDescent="0.25">
      <c r="M11" s="2" t="s">
        <v>10</v>
      </c>
      <c r="N11" s="25">
        <v>50</v>
      </c>
      <c r="O11" s="2">
        <v>4</v>
      </c>
      <c r="P11" s="25">
        <f t="shared" si="0"/>
        <v>200</v>
      </c>
      <c r="Q11" s="18">
        <f t="shared" si="1"/>
        <v>66.666666666666671</v>
      </c>
    </row>
    <row r="12" spans="1:17" x14ac:dyDescent="0.25">
      <c r="M12" s="2" t="s">
        <v>12</v>
      </c>
      <c r="N12" s="25">
        <v>18</v>
      </c>
      <c r="O12" s="2">
        <v>3</v>
      </c>
      <c r="P12" s="25">
        <f t="shared" si="0"/>
        <v>54</v>
      </c>
      <c r="Q12" s="18">
        <f t="shared" si="1"/>
        <v>18</v>
      </c>
    </row>
    <row r="13" spans="1:17" x14ac:dyDescent="0.25">
      <c r="M13" s="2" t="s">
        <v>13</v>
      </c>
      <c r="N13" s="25">
        <v>650</v>
      </c>
      <c r="O13" s="2">
        <v>1</v>
      </c>
      <c r="P13" s="25">
        <f t="shared" si="0"/>
        <v>650</v>
      </c>
      <c r="Q13" s="18">
        <f t="shared" si="1"/>
        <v>216.66666666666666</v>
      </c>
    </row>
    <row r="14" spans="1:17" x14ac:dyDescent="0.25">
      <c r="M14" s="2" t="s">
        <v>14</v>
      </c>
      <c r="N14" s="25">
        <v>100</v>
      </c>
      <c r="O14" s="2">
        <v>1</v>
      </c>
      <c r="P14" s="25">
        <f t="shared" si="0"/>
        <v>100</v>
      </c>
      <c r="Q14" s="18">
        <f t="shared" si="1"/>
        <v>33.333333333333336</v>
      </c>
    </row>
    <row r="15" spans="1:17" x14ac:dyDescent="0.25">
      <c r="M15" s="2" t="s">
        <v>15</v>
      </c>
      <c r="N15" s="25">
        <v>81</v>
      </c>
      <c r="O15" s="2">
        <v>3</v>
      </c>
      <c r="P15" s="25">
        <f>N15*O15</f>
        <v>243</v>
      </c>
      <c r="Q15" s="18">
        <f t="shared" si="1"/>
        <v>81</v>
      </c>
    </row>
    <row r="16" spans="1:17" x14ac:dyDescent="0.25">
      <c r="M16" s="17" t="s">
        <v>20</v>
      </c>
      <c r="N16" s="25">
        <v>12</v>
      </c>
      <c r="O16" s="2">
        <v>32</v>
      </c>
      <c r="P16" s="25">
        <f>N16*O16</f>
        <v>384</v>
      </c>
      <c r="Q16" s="47">
        <f>P16</f>
        <v>384</v>
      </c>
    </row>
    <row r="17" spans="1:17" x14ac:dyDescent="0.25">
      <c r="A17" s="10" t="s">
        <v>192</v>
      </c>
      <c r="M17" s="19" t="s">
        <v>16</v>
      </c>
      <c r="P17" s="5">
        <f>SUM(P6:P16)</f>
        <v>11367.85</v>
      </c>
      <c r="Q17" s="20">
        <f>SUM(Q6:Q16)</f>
        <v>4045.2833333333328</v>
      </c>
    </row>
    <row r="18" spans="1:17" x14ac:dyDescent="0.25">
      <c r="A18" s="10"/>
      <c r="B18" s="11" t="s">
        <v>35</v>
      </c>
      <c r="C18" s="11" t="s">
        <v>36</v>
      </c>
      <c r="D18" s="11" t="s">
        <v>37</v>
      </c>
      <c r="E18" s="11" t="s">
        <v>38</v>
      </c>
      <c r="F18" s="11" t="s">
        <v>39</v>
      </c>
      <c r="M18" s="3" t="s">
        <v>56</v>
      </c>
    </row>
    <row r="19" spans="1:17" x14ac:dyDescent="0.25">
      <c r="A19" s="10" t="s">
        <v>103</v>
      </c>
      <c r="B19" s="22">
        <v>43.6</v>
      </c>
      <c r="C19" s="22">
        <v>44.49</v>
      </c>
      <c r="D19" s="22">
        <v>46.19</v>
      </c>
      <c r="E19" s="22">
        <v>48.59</v>
      </c>
      <c r="F19" s="22">
        <v>49.83</v>
      </c>
    </row>
    <row r="20" spans="1:17" x14ac:dyDescent="0.25">
      <c r="A20" s="10"/>
      <c r="B20" s="2"/>
      <c r="C20" s="2"/>
      <c r="D20" s="2"/>
      <c r="E20" s="2"/>
      <c r="F20" s="2"/>
      <c r="M20" s="1" t="s">
        <v>30</v>
      </c>
    </row>
    <row r="21" spans="1:17" x14ac:dyDescent="0.25">
      <c r="A21" s="10" t="s">
        <v>31</v>
      </c>
      <c r="B21" s="2"/>
      <c r="C21" s="2"/>
      <c r="D21" s="2"/>
      <c r="E21" s="2"/>
      <c r="F21" s="2"/>
      <c r="M21" t="s">
        <v>11</v>
      </c>
      <c r="N21" s="4">
        <v>100</v>
      </c>
      <c r="O21">
        <v>2</v>
      </c>
      <c r="P21" s="8">
        <f>N21*O21</f>
        <v>200</v>
      </c>
      <c r="Q21" s="8">
        <f>P21</f>
        <v>200</v>
      </c>
    </row>
    <row r="22" spans="1:17" x14ac:dyDescent="0.25">
      <c r="A22" s="10" t="s">
        <v>48</v>
      </c>
      <c r="B22" s="2">
        <v>106.07</v>
      </c>
      <c r="C22" s="2">
        <v>109.2</v>
      </c>
      <c r="D22" s="2">
        <v>110.38</v>
      </c>
      <c r="E22" s="2">
        <v>114.19</v>
      </c>
      <c r="F22" s="2">
        <v>115.8</v>
      </c>
    </row>
    <row r="23" spans="1:17" x14ac:dyDescent="0.25">
      <c r="A23" s="10" t="s">
        <v>104</v>
      </c>
      <c r="B23" s="24">
        <v>95.38</v>
      </c>
      <c r="C23" s="24">
        <v>97.48</v>
      </c>
      <c r="D23" s="24">
        <v>99.32</v>
      </c>
      <c r="E23" s="24">
        <v>103.6</v>
      </c>
      <c r="F23" s="24">
        <v>105.79</v>
      </c>
      <c r="M23" s="21" t="s">
        <v>194</v>
      </c>
      <c r="N23" s="9"/>
      <c r="O23" s="7"/>
      <c r="P23" s="7"/>
      <c r="Q23" s="7"/>
    </row>
    <row r="24" spans="1:17" x14ac:dyDescent="0.25">
      <c r="A24" s="10" t="s">
        <v>105</v>
      </c>
      <c r="B24" s="24">
        <f>AVERAGE('[1]Steer Calves'!$M$5:$M$25)</f>
        <v>104.07809523809526</v>
      </c>
      <c r="C24" s="24">
        <f>AVERAGE('[1]Steer Calves'!$N$5:$N$25)</f>
        <v>104.85619047619048</v>
      </c>
      <c r="D24" s="24">
        <f>AVERAGE('[1]Steer Calves'!$C$5:$C$26)</f>
        <v>106.1627272727273</v>
      </c>
      <c r="E24" s="24">
        <f>AVERAGE('[1]Steer Calves'!$D$5:$D$26)</f>
        <v>109.88045454545454</v>
      </c>
      <c r="F24" s="24">
        <f>AVERAGE('[1]Steer Calves'!$E$5:$E$26)</f>
        <v>113.00499999999997</v>
      </c>
      <c r="M24" s="33" t="s">
        <v>17</v>
      </c>
      <c r="N24" s="48">
        <v>325</v>
      </c>
      <c r="O24" s="33">
        <v>2</v>
      </c>
      <c r="P24" s="48">
        <f>N24*O24</f>
        <v>650</v>
      </c>
      <c r="Q24" s="34">
        <f>P24/3</f>
        <v>216.66666666666666</v>
      </c>
    </row>
    <row r="25" spans="1:17" x14ac:dyDescent="0.25">
      <c r="A25" s="10" t="s">
        <v>49</v>
      </c>
      <c r="B25" s="23">
        <v>120</v>
      </c>
      <c r="C25" s="23">
        <v>161</v>
      </c>
      <c r="D25" s="23"/>
      <c r="E25" s="23"/>
      <c r="F25" s="23">
        <v>139</v>
      </c>
      <c r="M25" s="2" t="s">
        <v>18</v>
      </c>
      <c r="N25" s="25">
        <v>2500</v>
      </c>
      <c r="O25" s="2">
        <v>1</v>
      </c>
      <c r="P25" s="25">
        <f>N25*O25</f>
        <v>2500</v>
      </c>
      <c r="Q25" s="18">
        <f>P25/3</f>
        <v>833.33333333333337</v>
      </c>
    </row>
    <row r="26" spans="1:17" x14ac:dyDescent="0.25">
      <c r="A26" s="10" t="s">
        <v>106</v>
      </c>
      <c r="B26" s="24">
        <v>96.15</v>
      </c>
      <c r="C26" s="24">
        <v>96.22</v>
      </c>
      <c r="D26" s="24">
        <v>94.02</v>
      </c>
      <c r="E26" s="24">
        <v>93.61</v>
      </c>
      <c r="F26" s="24">
        <v>93.7</v>
      </c>
      <c r="M26" s="2" t="s">
        <v>21</v>
      </c>
      <c r="N26" s="25">
        <v>150</v>
      </c>
      <c r="O26" s="2">
        <v>1</v>
      </c>
      <c r="P26" s="25">
        <f>N26*O26</f>
        <v>150</v>
      </c>
      <c r="Q26" s="18">
        <f>P26/3</f>
        <v>50</v>
      </c>
    </row>
    <row r="27" spans="1:17" x14ac:dyDescent="0.25">
      <c r="A27" s="10"/>
      <c r="B27" s="2"/>
      <c r="C27" s="2"/>
      <c r="D27" s="2"/>
      <c r="E27" s="2"/>
      <c r="F27" s="2"/>
      <c r="M27" s="2" t="s">
        <v>19</v>
      </c>
      <c r="N27" s="25">
        <v>12</v>
      </c>
      <c r="O27" s="2">
        <v>12</v>
      </c>
      <c r="P27" s="25">
        <f>3*(N27*O27)</f>
        <v>432</v>
      </c>
      <c r="Q27" s="18">
        <f>P27/3</f>
        <v>144</v>
      </c>
    </row>
    <row r="28" spans="1:17" x14ac:dyDescent="0.25">
      <c r="A28" s="10" t="s">
        <v>109</v>
      </c>
      <c r="E28" s="10"/>
      <c r="M28" s="28" t="s">
        <v>57</v>
      </c>
      <c r="N28" s="2"/>
      <c r="O28" s="2"/>
      <c r="P28" s="18">
        <f>SUM(P24:P27)</f>
        <v>3732</v>
      </c>
      <c r="Q28" s="35">
        <f>SUM(Q24:Q27)</f>
        <v>1244</v>
      </c>
    </row>
    <row r="29" spans="1:17" x14ac:dyDescent="0.25">
      <c r="A29" s="19" t="s">
        <v>110</v>
      </c>
      <c r="M29" s="30" t="s">
        <v>66</v>
      </c>
      <c r="N29" s="11"/>
      <c r="O29" s="11" t="s">
        <v>71</v>
      </c>
      <c r="P29" s="11" t="s">
        <v>59</v>
      </c>
      <c r="Q29" s="11" t="str">
        <f>P29</f>
        <v>$</v>
      </c>
    </row>
    <row r="30" spans="1:17" x14ac:dyDescent="0.25">
      <c r="M30" s="2" t="s">
        <v>67</v>
      </c>
      <c r="N30" s="29">
        <v>0.01</v>
      </c>
      <c r="O30" s="2">
        <f>10*(230*90)</f>
        <v>207000</v>
      </c>
      <c r="P30" s="29">
        <f>N30*O30</f>
        <v>2070</v>
      </c>
      <c r="Q30" s="29">
        <f>P30</f>
        <v>2070</v>
      </c>
    </row>
    <row r="31" spans="1:17" ht="30" x14ac:dyDescent="0.25">
      <c r="A31" s="12" t="s">
        <v>50</v>
      </c>
      <c r="B31" s="15" t="s">
        <v>47</v>
      </c>
      <c r="C31" s="13"/>
      <c r="D31" s="13"/>
      <c r="E31" s="14"/>
      <c r="F31" s="15" t="s">
        <v>46</v>
      </c>
      <c r="G31" s="13"/>
      <c r="H31" s="13"/>
      <c r="I31" s="14"/>
      <c r="J31" s="6"/>
      <c r="M31" s="2" t="s">
        <v>70</v>
      </c>
      <c r="N31" s="29">
        <v>0.01</v>
      </c>
      <c r="O31" s="2">
        <f>10*(230*120)</f>
        <v>276000</v>
      </c>
      <c r="P31" s="29">
        <f>N31*O31</f>
        <v>2760</v>
      </c>
      <c r="Q31" s="29">
        <f>P31</f>
        <v>2760</v>
      </c>
    </row>
    <row r="32" spans="1:17" ht="30" x14ac:dyDescent="0.25">
      <c r="A32" s="37" t="s">
        <v>82</v>
      </c>
      <c r="B32" s="11" t="s">
        <v>32</v>
      </c>
      <c r="C32" s="42" t="s">
        <v>33</v>
      </c>
      <c r="D32" s="11" t="s">
        <v>34</v>
      </c>
      <c r="E32" s="11" t="s">
        <v>45</v>
      </c>
      <c r="F32" s="11" t="s">
        <v>32</v>
      </c>
      <c r="G32" s="11" t="s">
        <v>33</v>
      </c>
      <c r="H32" s="42" t="s">
        <v>34</v>
      </c>
      <c r="I32" s="43" t="s">
        <v>84</v>
      </c>
      <c r="M32" s="2"/>
      <c r="N32" s="2"/>
      <c r="O32" s="31" t="s">
        <v>72</v>
      </c>
      <c r="P32" s="2"/>
      <c r="Q32" s="2"/>
    </row>
    <row r="33" spans="1:17" x14ac:dyDescent="0.25">
      <c r="A33" s="11" t="s">
        <v>35</v>
      </c>
      <c r="B33" s="2">
        <f>(10*(3*B19))+(3*(B22*31))</f>
        <v>11172.509999999998</v>
      </c>
      <c r="C33" s="38">
        <f>(10*(3*B19))+(4*(31*B23))</f>
        <v>13135.119999999999</v>
      </c>
      <c r="D33" s="2">
        <f>(10*(3*B19))+(5*(B24*31))</f>
        <v>17440.104761904768</v>
      </c>
      <c r="E33" s="2">
        <f>(10*(3*B19))+(6*(B25*31))</f>
        <v>23628</v>
      </c>
      <c r="F33" s="2">
        <f>(10*(3*B19))+(3*(B22*25))</f>
        <v>9263.25</v>
      </c>
      <c r="G33" s="2">
        <f>(10*(3*B19))+(4*(25*B23))</f>
        <v>10846</v>
      </c>
      <c r="H33" s="2">
        <f>(10*(3*B19))+(5*(B24*25))</f>
        <v>14317.761904761908</v>
      </c>
      <c r="I33" s="2">
        <f>(10*(3*B19))+(6*(B25*25))</f>
        <v>19308</v>
      </c>
      <c r="M33" s="2" t="s">
        <v>68</v>
      </c>
      <c r="N33" s="18">
        <f>N16</f>
        <v>12</v>
      </c>
      <c r="O33" s="2">
        <f>1.5*(O30/1200)</f>
        <v>258.75</v>
      </c>
      <c r="P33" s="25">
        <f>N33*O33</f>
        <v>3105</v>
      </c>
      <c r="Q33" s="25">
        <f>P33</f>
        <v>3105</v>
      </c>
    </row>
    <row r="34" spans="1:17" x14ac:dyDescent="0.25">
      <c r="A34" s="11" t="s">
        <v>36</v>
      </c>
      <c r="B34" s="2">
        <f>(10*(3*C19))+(3*(C22*31))</f>
        <v>11490.300000000001</v>
      </c>
      <c r="C34" s="2">
        <f>(10*(3*C19))+(4*(C23*31))</f>
        <v>13422.220000000001</v>
      </c>
      <c r="D34" s="2">
        <f>(10*(3*C19))+(5*(C24*31))</f>
        <v>17587.409523809525</v>
      </c>
      <c r="E34" s="2">
        <f>(10*(3*C19))+(6*(C25*31))</f>
        <v>31280.7</v>
      </c>
      <c r="F34" s="2">
        <f>(10*(3*C19))+(3*(C22*25))</f>
        <v>9524.7000000000007</v>
      </c>
      <c r="G34" s="2">
        <f>(10*(3*C19))+(4*(C23*25))</f>
        <v>11082.7</v>
      </c>
      <c r="H34" s="2">
        <f>(10*(3*C19))+(5*(C24*25))</f>
        <v>14441.72380952381</v>
      </c>
      <c r="I34" s="2">
        <f>(10*(3*C19))+(6*(C25*25))</f>
        <v>25484.7</v>
      </c>
      <c r="M34" s="2" t="s">
        <v>69</v>
      </c>
      <c r="N34" s="18">
        <f>N16</f>
        <v>12</v>
      </c>
      <c r="O34" s="2">
        <f>1.5*(O31/1200)</f>
        <v>345</v>
      </c>
      <c r="P34" s="25">
        <f>N34*O34</f>
        <v>4140</v>
      </c>
      <c r="Q34" s="25">
        <f>P34</f>
        <v>4140</v>
      </c>
    </row>
    <row r="35" spans="1:17" x14ac:dyDescent="0.25">
      <c r="A35" s="11" t="s">
        <v>37</v>
      </c>
      <c r="B35" s="2">
        <f>(10*(3*D19))+(3*(D22*31))</f>
        <v>11651.04</v>
      </c>
      <c r="C35" s="2">
        <f>(10*(3*D19))+(4*(D23*31))</f>
        <v>13701.379999999997</v>
      </c>
      <c r="D35" s="2">
        <f>(10*(3*D19))+(5*(D24*31))</f>
        <v>17840.922727272733</v>
      </c>
      <c r="E35" s="2">
        <f>(10*(3*D19))+(6*(D25*31))</f>
        <v>1385.6999999999998</v>
      </c>
      <c r="F35" s="2">
        <f>(10*(3*D19))+(3*(D22*31))</f>
        <v>11651.04</v>
      </c>
      <c r="G35" s="2">
        <f>(10*(3*D19))+(4*(D23*25))</f>
        <v>11317.7</v>
      </c>
      <c r="H35" s="2">
        <f>(10*(3*D19))+(5*(D24*25))</f>
        <v>14656.040909090912</v>
      </c>
      <c r="I35" s="2">
        <f>(10*(3*D19))+(6*(D25*25))</f>
        <v>1385.6999999999998</v>
      </c>
      <c r="M35" s="28" t="s">
        <v>73</v>
      </c>
      <c r="N35" s="11"/>
      <c r="O35" s="11"/>
      <c r="P35" s="11"/>
      <c r="Q35" s="11"/>
    </row>
    <row r="36" spans="1:17" x14ac:dyDescent="0.25">
      <c r="A36" s="16" t="s">
        <v>51</v>
      </c>
      <c r="M36" s="28" t="s">
        <v>47</v>
      </c>
      <c r="N36" s="11"/>
      <c r="O36" s="11"/>
      <c r="P36" s="32">
        <f>P30+P33</f>
        <v>5175</v>
      </c>
      <c r="Q36" s="32">
        <f>P36</f>
        <v>5175</v>
      </c>
    </row>
    <row r="37" spans="1:17" x14ac:dyDescent="0.25">
      <c r="M37" s="28" t="s">
        <v>46</v>
      </c>
      <c r="N37" s="11"/>
      <c r="O37" s="11"/>
      <c r="P37" s="32">
        <f>P31+P34</f>
        <v>6900</v>
      </c>
      <c r="Q37" s="32">
        <f>P37</f>
        <v>6900</v>
      </c>
    </row>
    <row r="39" spans="1:17" x14ac:dyDescent="0.25">
      <c r="A39" s="21" t="s">
        <v>122</v>
      </c>
      <c r="B39" s="21"/>
      <c r="C39" s="21"/>
      <c r="D39" s="49"/>
      <c r="F39" s="11" t="s">
        <v>195</v>
      </c>
      <c r="G39" s="2"/>
      <c r="H39" s="2"/>
    </row>
    <row r="40" spans="1:17" x14ac:dyDescent="0.25">
      <c r="A40" s="2"/>
      <c r="B40" s="2" t="s">
        <v>74</v>
      </c>
      <c r="C40" s="50" t="s">
        <v>75</v>
      </c>
      <c r="D40" s="6"/>
      <c r="F40" s="11" t="s">
        <v>79</v>
      </c>
      <c r="G40" s="11" t="s">
        <v>81</v>
      </c>
      <c r="H40" s="11" t="s">
        <v>80</v>
      </c>
    </row>
    <row r="41" spans="1:17" x14ac:dyDescent="0.25">
      <c r="A41" s="33" t="s">
        <v>52</v>
      </c>
      <c r="B41" s="34">
        <f>Q17</f>
        <v>4045.2833333333328</v>
      </c>
      <c r="C41" s="18">
        <f>B41</f>
        <v>4045.2833333333328</v>
      </c>
      <c r="F41" s="2">
        <v>0</v>
      </c>
      <c r="G41" s="2">
        <v>0</v>
      </c>
      <c r="H41" s="2">
        <v>0</v>
      </c>
      <c r="M41" s="27" t="s">
        <v>196</v>
      </c>
    </row>
    <row r="42" spans="1:17" x14ac:dyDescent="0.25">
      <c r="A42" s="2" t="s">
        <v>53</v>
      </c>
      <c r="B42" s="18">
        <f>Q21</f>
        <v>200</v>
      </c>
      <c r="C42" s="18">
        <f>B42</f>
        <v>200</v>
      </c>
      <c r="F42" s="2">
        <v>0.25</v>
      </c>
      <c r="G42" s="2">
        <v>22.5</v>
      </c>
      <c r="H42" s="2">
        <v>30</v>
      </c>
      <c r="M42" s="17" t="s">
        <v>61</v>
      </c>
      <c r="N42" s="25">
        <v>9</v>
      </c>
      <c r="O42" s="2">
        <v>100</v>
      </c>
      <c r="P42" s="18">
        <f>N42*O42</f>
        <v>900</v>
      </c>
    </row>
    <row r="43" spans="1:17" x14ac:dyDescent="0.25">
      <c r="A43" s="2" t="s">
        <v>54</v>
      </c>
      <c r="B43" s="18">
        <f>Q28+P36</f>
        <v>6419</v>
      </c>
      <c r="C43" s="18">
        <f>Q28+Q37</f>
        <v>8144</v>
      </c>
      <c r="F43" s="2">
        <v>0.5</v>
      </c>
      <c r="G43" s="2">
        <v>45</v>
      </c>
      <c r="H43" s="2">
        <v>60</v>
      </c>
      <c r="M43" s="17" t="s">
        <v>62</v>
      </c>
      <c r="N43" s="26">
        <v>0.875</v>
      </c>
      <c r="O43" s="2" t="s">
        <v>64</v>
      </c>
      <c r="P43" s="2">
        <f>N43*(34*90)</f>
        <v>2677.5</v>
      </c>
    </row>
    <row r="44" spans="1:17" x14ac:dyDescent="0.25">
      <c r="A44" s="2" t="s">
        <v>58</v>
      </c>
      <c r="B44" s="18">
        <f>0.15*(B41+Q28)</f>
        <v>793.39249999999993</v>
      </c>
      <c r="C44" s="18">
        <f>B44</f>
        <v>793.39249999999993</v>
      </c>
      <c r="F44" s="2">
        <v>0.75</v>
      </c>
      <c r="G44" s="2">
        <v>67.5</v>
      </c>
      <c r="H44" s="2">
        <v>90</v>
      </c>
      <c r="M44" s="17" t="s">
        <v>63</v>
      </c>
      <c r="N44" s="2"/>
      <c r="O44" s="2" t="s">
        <v>65</v>
      </c>
      <c r="P44" s="2">
        <f>N43*(28*120)</f>
        <v>2940</v>
      </c>
    </row>
    <row r="45" spans="1:17" x14ac:dyDescent="0.25">
      <c r="A45" s="28" t="s">
        <v>60</v>
      </c>
      <c r="B45" s="35">
        <f>SUM(B41:B44)</f>
        <v>11457.675833333333</v>
      </c>
      <c r="C45" s="35">
        <f>SUM(C41:C44)</f>
        <v>13182.675833333333</v>
      </c>
      <c r="F45" s="2">
        <v>1</v>
      </c>
      <c r="G45" s="2">
        <v>90</v>
      </c>
      <c r="H45" s="2">
        <v>120</v>
      </c>
    </row>
    <row r="46" spans="1:17" x14ac:dyDescent="0.25">
      <c r="F46" s="2">
        <v>1.5</v>
      </c>
      <c r="G46" s="2">
        <v>135</v>
      </c>
      <c r="H46" s="2">
        <v>180</v>
      </c>
      <c r="M46" s="27" t="s">
        <v>197</v>
      </c>
    </row>
    <row r="47" spans="1:17" x14ac:dyDescent="0.25">
      <c r="A47" s="55"/>
      <c r="B47" s="55"/>
      <c r="F47" s="2">
        <v>1.75</v>
      </c>
      <c r="G47" s="2">
        <v>157.5</v>
      </c>
      <c r="H47" s="2">
        <v>210</v>
      </c>
      <c r="M47" s="2" t="s">
        <v>76</v>
      </c>
      <c r="N47" s="36">
        <v>95</v>
      </c>
    </row>
    <row r="48" spans="1:17" x14ac:dyDescent="0.25">
      <c r="A48" s="56"/>
      <c r="B48" s="57"/>
      <c r="F48" s="2">
        <v>2</v>
      </c>
      <c r="G48" s="2">
        <v>180</v>
      </c>
      <c r="H48" s="2">
        <v>240</v>
      </c>
      <c r="M48" s="2" t="s">
        <v>77</v>
      </c>
      <c r="N48" s="25">
        <v>1.64</v>
      </c>
    </row>
    <row r="49" spans="1:15" x14ac:dyDescent="0.25">
      <c r="F49" s="2">
        <v>2.25</v>
      </c>
      <c r="G49" s="2">
        <v>202.5</v>
      </c>
      <c r="H49" s="2">
        <v>270</v>
      </c>
      <c r="M49" s="2" t="s">
        <v>47</v>
      </c>
      <c r="N49" s="25">
        <f>N48*(34*90)</f>
        <v>5018.3999999999996</v>
      </c>
    </row>
    <row r="50" spans="1:15" x14ac:dyDescent="0.25">
      <c r="A50" s="55"/>
      <c r="B50" s="55"/>
      <c r="F50" s="2">
        <v>2.5</v>
      </c>
      <c r="G50" s="2">
        <v>225</v>
      </c>
      <c r="H50" s="2">
        <v>300</v>
      </c>
      <c r="M50" s="2" t="s">
        <v>46</v>
      </c>
      <c r="N50" s="25">
        <f>N48*(28*120)</f>
        <v>5510.4</v>
      </c>
    </row>
    <row r="53" spans="1:15" x14ac:dyDescent="0.25">
      <c r="M53" s="59" t="s">
        <v>78</v>
      </c>
      <c r="N53" s="60">
        <f>1875*0.95</f>
        <v>1781.25</v>
      </c>
    </row>
    <row r="54" spans="1:15" x14ac:dyDescent="0.25">
      <c r="M54" s="55" t="s">
        <v>121</v>
      </c>
    </row>
    <row r="61" spans="1:15" ht="15.75" thickBot="1" x14ac:dyDescent="0.3"/>
    <row r="62" spans="1:15" x14ac:dyDescent="0.25">
      <c r="A62" s="75" t="s">
        <v>40</v>
      </c>
      <c r="B62" s="76"/>
      <c r="C62" s="76"/>
      <c r="D62" s="76"/>
      <c r="E62" s="76"/>
      <c r="F62" s="76"/>
      <c r="G62" s="76"/>
      <c r="H62" s="76"/>
      <c r="I62" s="76"/>
      <c r="J62" s="76"/>
      <c r="K62" s="76"/>
      <c r="L62" s="76"/>
      <c r="M62" s="76"/>
      <c r="N62" s="76"/>
      <c r="O62" s="77"/>
    </row>
    <row r="63" spans="1:15" ht="15.75" thickBot="1" x14ac:dyDescent="0.3">
      <c r="A63" s="78"/>
      <c r="B63" s="79"/>
      <c r="C63" s="79"/>
      <c r="D63" s="79"/>
      <c r="E63" s="79"/>
      <c r="F63" s="79"/>
      <c r="G63" s="80"/>
      <c r="H63" s="79"/>
      <c r="I63" s="79"/>
      <c r="J63" s="79"/>
      <c r="K63" s="80"/>
      <c r="L63" s="79"/>
      <c r="M63" s="79"/>
      <c r="N63" s="79"/>
      <c r="O63" s="81"/>
    </row>
    <row r="64" spans="1:15" x14ac:dyDescent="0.25">
      <c r="A64" s="82" t="s">
        <v>83</v>
      </c>
      <c r="B64" s="82"/>
      <c r="C64" s="82"/>
      <c r="D64" s="82"/>
      <c r="E64" s="82"/>
      <c r="F64" s="82"/>
      <c r="G64" s="83" t="s">
        <v>42</v>
      </c>
      <c r="H64" s="80"/>
      <c r="I64" s="80"/>
      <c r="J64" s="80"/>
      <c r="K64" s="84" t="s">
        <v>133</v>
      </c>
      <c r="L64" s="85"/>
      <c r="M64" s="86" t="s">
        <v>191</v>
      </c>
      <c r="N64" s="82"/>
      <c r="O64" s="82"/>
    </row>
    <row r="65" spans="1:15" s="44" customFormat="1" x14ac:dyDescent="0.25">
      <c r="A65" s="87"/>
      <c r="B65" s="87" t="s">
        <v>29</v>
      </c>
      <c r="C65" s="88" t="s">
        <v>23</v>
      </c>
      <c r="D65" s="88" t="s">
        <v>41</v>
      </c>
      <c r="E65" s="88" t="s">
        <v>24</v>
      </c>
      <c r="F65" s="88" t="s">
        <v>41</v>
      </c>
      <c r="G65" s="88" t="s">
        <v>25</v>
      </c>
      <c r="H65" s="89"/>
      <c r="I65" s="89"/>
      <c r="J65" s="89"/>
      <c r="K65" s="87"/>
      <c r="L65" s="87" t="s">
        <v>29</v>
      </c>
      <c r="M65" s="87" t="s">
        <v>43</v>
      </c>
      <c r="N65" s="87" t="s">
        <v>44</v>
      </c>
      <c r="O65" s="87" t="s">
        <v>101</v>
      </c>
    </row>
    <row r="66" spans="1:15" x14ac:dyDescent="0.25">
      <c r="A66" s="83" t="s">
        <v>22</v>
      </c>
      <c r="B66" s="83">
        <v>90</v>
      </c>
      <c r="C66" s="83">
        <v>3</v>
      </c>
      <c r="D66" s="90">
        <f>B19</f>
        <v>43.6</v>
      </c>
      <c r="E66" s="83">
        <v>31</v>
      </c>
      <c r="F66" s="90">
        <f>(E24*5.25)*E66</f>
        <v>17883.043977272726</v>
      </c>
      <c r="G66" s="90">
        <f>(D66)+(F66)</f>
        <v>17926.643977272724</v>
      </c>
      <c r="H66" s="80"/>
      <c r="I66" s="80"/>
      <c r="J66" s="80"/>
      <c r="K66" s="83" t="s">
        <v>22</v>
      </c>
      <c r="L66" s="83">
        <v>90</v>
      </c>
      <c r="M66" s="91">
        <f>G66</f>
        <v>17926.643977272724</v>
      </c>
      <c r="N66" s="92">
        <f>(N117)+((B23*4)*31)+((B19*10)*3)+(34*E110)+(34*F110)+(N117+((B23*4)*31)+((B19*10)*3)+(34*E110)+(34*F110))*((0.02875/12)*3)</f>
        <v>27595.754894010417</v>
      </c>
      <c r="O66" s="93">
        <f t="shared" ref="O66:O71" si="2">M66-N66</f>
        <v>-9669.1109167376926</v>
      </c>
    </row>
    <row r="67" spans="1:15" x14ac:dyDescent="0.25">
      <c r="A67" s="83"/>
      <c r="B67" s="83">
        <v>120</v>
      </c>
      <c r="C67" s="83">
        <v>3</v>
      </c>
      <c r="D67" s="90">
        <f>B19</f>
        <v>43.6</v>
      </c>
      <c r="E67" s="83">
        <v>28</v>
      </c>
      <c r="F67" s="90">
        <f>(((F25))*6)*E67</f>
        <v>23352</v>
      </c>
      <c r="G67" s="90">
        <f>(D67)+(F67)</f>
        <v>23395.599999999999</v>
      </c>
      <c r="H67" s="80"/>
      <c r="I67" s="80"/>
      <c r="J67" s="80"/>
      <c r="K67" s="83"/>
      <c r="L67" s="83">
        <v>120</v>
      </c>
      <c r="M67" s="91">
        <f>G67</f>
        <v>23395.599999999999</v>
      </c>
      <c r="N67" s="92">
        <f>(N118+((B23*4)*28)+((B19*10)*3)+(28*C111)+(28*F111))+(N118+((B23*4)*28)+((B19*10)*3)+(31*C111)+(31*F111))*((0.02875/12)*4)</f>
        <v>28250.176385069444</v>
      </c>
      <c r="O67" s="93">
        <f t="shared" si="2"/>
        <v>-4854.5763850694457</v>
      </c>
    </row>
    <row r="68" spans="1:15" x14ac:dyDescent="0.25">
      <c r="A68" s="83" t="s">
        <v>26</v>
      </c>
      <c r="B68" s="83">
        <v>90</v>
      </c>
      <c r="C68" s="83">
        <v>3</v>
      </c>
      <c r="D68" s="83">
        <f>D66</f>
        <v>43.6</v>
      </c>
      <c r="E68" s="83">
        <v>31</v>
      </c>
      <c r="F68" s="90">
        <f>F66</f>
        <v>17883.043977272726</v>
      </c>
      <c r="G68" s="90">
        <f>(D68)+(F68)</f>
        <v>17926.643977272724</v>
      </c>
      <c r="H68" s="80"/>
      <c r="I68" s="80"/>
      <c r="J68" s="80"/>
      <c r="K68" s="83" t="s">
        <v>26</v>
      </c>
      <c r="L68" s="83">
        <v>90</v>
      </c>
      <c r="M68" s="91">
        <f t="shared" ref="M68:M73" si="3">G68</f>
        <v>17926.643977272724</v>
      </c>
      <c r="N68" s="92">
        <f>(O117)+((B23*4)*31)+((B19*10)*3)+(34*E112)+(34*F110)+(O117+((B23*4)*31)+((B19*10)*3)+(34*E112)+(34*F110))*((0.02875/12)*3)</f>
        <v>27918.679350260416</v>
      </c>
      <c r="O68" s="93">
        <f t="shared" si="2"/>
        <v>-9992.0353729876915</v>
      </c>
    </row>
    <row r="69" spans="1:15" x14ac:dyDescent="0.25">
      <c r="A69" s="83"/>
      <c r="B69" s="83">
        <v>120</v>
      </c>
      <c r="C69" s="83">
        <v>3</v>
      </c>
      <c r="D69" s="83">
        <f>D67</f>
        <v>43.6</v>
      </c>
      <c r="E69" s="83">
        <v>28</v>
      </c>
      <c r="F69" s="90">
        <f>F67</f>
        <v>23352</v>
      </c>
      <c r="G69" s="90">
        <f>(D69)+(F69)</f>
        <v>23395.599999999999</v>
      </c>
      <c r="H69" s="80"/>
      <c r="I69" s="80"/>
      <c r="J69" s="80"/>
      <c r="K69" s="83"/>
      <c r="L69" s="83">
        <v>120</v>
      </c>
      <c r="M69" s="91">
        <f t="shared" si="3"/>
        <v>23395.599999999999</v>
      </c>
      <c r="N69" s="92">
        <f>(O118+((B23*4)*28)+((B19*10)*3)+(28*C113)+(28*F111))+(O118+((B23*4)*28)+((B19*10)*3)+(28*C113)+(28*F111))*((0.02875/12)*4)</f>
        <v>28580.785072569444</v>
      </c>
      <c r="O69" s="93">
        <f t="shared" si="2"/>
        <v>-5185.1850725694458</v>
      </c>
    </row>
    <row r="70" spans="1:15" x14ac:dyDescent="0.25">
      <c r="A70" s="83" t="s">
        <v>27</v>
      </c>
      <c r="B70" s="83">
        <v>90</v>
      </c>
      <c r="C70" s="83"/>
      <c r="D70" s="83">
        <v>0</v>
      </c>
      <c r="E70" s="83">
        <v>34</v>
      </c>
      <c r="F70" s="90">
        <f>(90*(E70*N43))+P42</f>
        <v>3577.5</v>
      </c>
      <c r="G70" s="90">
        <f>(90*(E70*N43))+P42</f>
        <v>3577.5</v>
      </c>
      <c r="H70" s="80"/>
      <c r="I70" s="80"/>
      <c r="J70" s="80"/>
      <c r="K70" s="83" t="s">
        <v>27</v>
      </c>
      <c r="L70" s="83">
        <v>90</v>
      </c>
      <c r="M70" s="91">
        <f t="shared" si="3"/>
        <v>3577.5</v>
      </c>
      <c r="N70" s="92">
        <f>P117+(P117*(0.02875/12)*3)</f>
        <v>15626.313464322917</v>
      </c>
      <c r="O70" s="93">
        <f t="shared" si="2"/>
        <v>-12048.813464322917</v>
      </c>
    </row>
    <row r="71" spans="1:15" x14ac:dyDescent="0.25">
      <c r="A71" s="83"/>
      <c r="B71" s="83">
        <v>120</v>
      </c>
      <c r="C71" s="83">
        <v>0</v>
      </c>
      <c r="D71" s="83">
        <v>0</v>
      </c>
      <c r="E71" s="83">
        <v>28</v>
      </c>
      <c r="F71" s="90">
        <f>(120*(E71*N43))+P42</f>
        <v>3840</v>
      </c>
      <c r="G71" s="90">
        <f>D71+F71</f>
        <v>3840</v>
      </c>
      <c r="H71" s="80"/>
      <c r="I71" s="80"/>
      <c r="J71" s="80"/>
      <c r="K71" s="83"/>
      <c r="L71" s="83">
        <v>120</v>
      </c>
      <c r="M71" s="91">
        <f t="shared" si="3"/>
        <v>3840</v>
      </c>
      <c r="N71" s="92">
        <f>P118+(P118*((0.02875/12)*4))</f>
        <v>17630.278872569445</v>
      </c>
      <c r="O71" s="93">
        <f t="shared" si="2"/>
        <v>-13790.278872569445</v>
      </c>
    </row>
    <row r="72" spans="1:15" x14ac:dyDescent="0.25">
      <c r="A72" s="83" t="s">
        <v>28</v>
      </c>
      <c r="B72" s="83">
        <v>90</v>
      </c>
      <c r="C72" s="83">
        <v>3</v>
      </c>
      <c r="D72" s="83">
        <f>(J95*11)*C66</f>
        <v>2145</v>
      </c>
      <c r="E72" s="83">
        <v>31</v>
      </c>
      <c r="F72" s="90">
        <f>(J100*((5+(G45/100)))*E72)</f>
        <v>27800.800000000003</v>
      </c>
      <c r="G72" s="90">
        <f>(D72)+(F72)</f>
        <v>29945.800000000003</v>
      </c>
      <c r="H72" s="80"/>
      <c r="I72" s="80"/>
      <c r="J72" s="80"/>
      <c r="K72" s="83" t="s">
        <v>28</v>
      </c>
      <c r="L72" s="83">
        <v>90</v>
      </c>
      <c r="M72" s="91">
        <f t="shared" si="3"/>
        <v>29945.800000000003</v>
      </c>
      <c r="N72" s="92">
        <f>(Q117+((G100*5)*31)+((G95*10)*3)+(34*G116))+(Q117+((G100*5)*31)+((G95*10)*3)+(34*G116))*((0.02875/12)*3)</f>
        <v>30912.722130468752</v>
      </c>
      <c r="O72" s="93">
        <f>(M72-N72)</f>
        <v>-966.92213046874895</v>
      </c>
    </row>
    <row r="73" spans="1:15" ht="15.75" thickBot="1" x14ac:dyDescent="0.3">
      <c r="A73" s="94"/>
      <c r="B73" s="94">
        <v>120</v>
      </c>
      <c r="C73" s="94">
        <v>3</v>
      </c>
      <c r="D73" s="94">
        <f>(K95*11)*C73</f>
        <v>1996.5</v>
      </c>
      <c r="E73" s="94">
        <v>28</v>
      </c>
      <c r="F73" s="95">
        <f>(K101*((5+(H45/100))*E73))</f>
        <v>24130.399999999998</v>
      </c>
      <c r="G73" s="95">
        <f>(D73)+(F73)</f>
        <v>26126.899999999998</v>
      </c>
      <c r="H73" s="80"/>
      <c r="I73" s="80"/>
      <c r="J73" s="80"/>
      <c r="K73" s="94"/>
      <c r="L73" s="94">
        <v>120</v>
      </c>
      <c r="M73" s="96">
        <f t="shared" si="3"/>
        <v>26126.899999999998</v>
      </c>
      <c r="N73" s="97">
        <f>(Q118+((G99*4)*28)+((G95*10)*3)+(28*G117))+(((Q118+((G99*4)*28)+((G95*10)*3)+(28*G117))*(0.02875/12)*4))</f>
        <v>27281.003740625001</v>
      </c>
      <c r="O73" s="98">
        <f>(M73-N73)</f>
        <v>-1154.1037406250034</v>
      </c>
    </row>
    <row r="74" spans="1:15" x14ac:dyDescent="0.25">
      <c r="A74" s="75"/>
      <c r="B74" s="76"/>
      <c r="C74" s="76"/>
      <c r="D74" s="76"/>
      <c r="E74" s="76"/>
      <c r="F74" s="76"/>
      <c r="G74" s="76"/>
      <c r="H74" s="80"/>
      <c r="I74" s="80"/>
      <c r="J74" s="80"/>
      <c r="K74" s="76"/>
      <c r="L74" s="76"/>
      <c r="M74" s="76"/>
      <c r="N74" s="76"/>
      <c r="O74" s="77"/>
    </row>
    <row r="75" spans="1:15" x14ac:dyDescent="0.25">
      <c r="A75" s="99"/>
      <c r="B75" s="80"/>
      <c r="C75" s="80"/>
      <c r="D75" s="80"/>
      <c r="E75" s="80"/>
      <c r="F75" s="80"/>
      <c r="G75" s="80"/>
      <c r="H75" s="80"/>
      <c r="I75" s="80"/>
      <c r="J75" s="80"/>
      <c r="K75" s="80"/>
      <c r="L75" s="80"/>
      <c r="M75" s="80"/>
      <c r="N75" s="80"/>
      <c r="O75" s="100"/>
    </row>
    <row r="76" spans="1:15" ht="15.75" thickBot="1" x14ac:dyDescent="0.3">
      <c r="A76" s="78"/>
      <c r="B76" s="79"/>
      <c r="C76" s="79"/>
      <c r="D76" s="79"/>
      <c r="E76" s="79"/>
      <c r="F76" s="79"/>
      <c r="G76" s="79"/>
      <c r="H76" s="80"/>
      <c r="I76" s="80"/>
      <c r="J76" s="80"/>
      <c r="K76" s="79"/>
      <c r="L76" s="79"/>
      <c r="M76" s="79"/>
      <c r="N76" s="79"/>
      <c r="O76" s="81"/>
    </row>
    <row r="77" spans="1:15" x14ac:dyDescent="0.25">
      <c r="A77" s="82" t="s">
        <v>94</v>
      </c>
      <c r="B77" s="82"/>
      <c r="C77" s="82"/>
      <c r="D77" s="82"/>
      <c r="E77" s="82"/>
      <c r="F77" s="82"/>
      <c r="G77" s="82" t="s">
        <v>42</v>
      </c>
      <c r="H77" s="80"/>
      <c r="I77" s="80"/>
      <c r="J77" s="80"/>
      <c r="K77" s="85" t="s">
        <v>134</v>
      </c>
      <c r="L77" s="85"/>
      <c r="M77" s="86" t="s">
        <v>191</v>
      </c>
      <c r="N77" s="82"/>
      <c r="O77" s="82"/>
    </row>
    <row r="78" spans="1:15" x14ac:dyDescent="0.25">
      <c r="A78" s="83" t="s">
        <v>132</v>
      </c>
      <c r="B78" s="83" t="s">
        <v>29</v>
      </c>
      <c r="C78" s="101" t="s">
        <v>23</v>
      </c>
      <c r="D78" s="101" t="s">
        <v>41</v>
      </c>
      <c r="E78" s="101" t="s">
        <v>24</v>
      </c>
      <c r="F78" s="101" t="s">
        <v>41</v>
      </c>
      <c r="G78" s="101" t="s">
        <v>25</v>
      </c>
      <c r="H78" s="80"/>
      <c r="I78" s="80"/>
      <c r="J78" s="80"/>
      <c r="K78" s="83"/>
      <c r="L78" s="83" t="s">
        <v>29</v>
      </c>
      <c r="M78" s="83" t="s">
        <v>43</v>
      </c>
      <c r="N78" s="83" t="s">
        <v>44</v>
      </c>
      <c r="O78" s="83" t="s">
        <v>101</v>
      </c>
    </row>
    <row r="79" spans="1:15" x14ac:dyDescent="0.25">
      <c r="A79" s="83" t="s">
        <v>22</v>
      </c>
      <c r="B79" s="83">
        <v>90</v>
      </c>
      <c r="C79" s="83">
        <v>3</v>
      </c>
      <c r="D79" s="90">
        <f>C19</f>
        <v>44.49</v>
      </c>
      <c r="E79" s="83">
        <v>31</v>
      </c>
      <c r="F79" s="90">
        <f>E79*(5.25*F24)</f>
        <v>18391.563749999994</v>
      </c>
      <c r="G79" s="90">
        <f>(D79)+(F79)</f>
        <v>18436.053749999995</v>
      </c>
      <c r="H79" s="80"/>
      <c r="I79" s="80"/>
      <c r="J79" s="80"/>
      <c r="K79" s="83" t="s">
        <v>22</v>
      </c>
      <c r="L79" s="83">
        <v>90</v>
      </c>
      <c r="M79" s="91">
        <f>G79</f>
        <v>18436.053749999995</v>
      </c>
      <c r="N79" s="92">
        <f>(N117+((C23*4)*31)+((C19*10)*3)+(34*1.05)+(34*2.62))+(((N117+((C23*4)*31)+((C19*10)*3)+(34*1.05)+(34*2.62))*(0.02875)/12)*3)</f>
        <v>27884.918425260417</v>
      </c>
      <c r="O79" s="93">
        <f>M79-N79</f>
        <v>-9448.8646752604218</v>
      </c>
    </row>
    <row r="80" spans="1:15" x14ac:dyDescent="0.25">
      <c r="A80" s="83"/>
      <c r="B80" s="83"/>
      <c r="C80" s="83"/>
      <c r="D80" s="83"/>
      <c r="E80" s="83"/>
      <c r="F80" s="90"/>
      <c r="G80" s="90"/>
      <c r="H80" s="80"/>
      <c r="I80" s="80"/>
      <c r="J80" s="80"/>
      <c r="K80" s="83"/>
      <c r="L80" s="83"/>
      <c r="M80" s="91"/>
      <c r="N80" s="93"/>
      <c r="O80" s="93"/>
    </row>
    <row r="81" spans="1:17" x14ac:dyDescent="0.25">
      <c r="A81" s="83" t="s">
        <v>26</v>
      </c>
      <c r="B81" s="83">
        <v>90</v>
      </c>
      <c r="C81" s="83">
        <v>3</v>
      </c>
      <c r="D81" s="83">
        <f>D79</f>
        <v>44.49</v>
      </c>
      <c r="E81" s="83">
        <v>31</v>
      </c>
      <c r="F81" s="90">
        <f>F79</f>
        <v>18391.563749999994</v>
      </c>
      <c r="G81" s="90">
        <f>(D81)+(F81)</f>
        <v>18436.053749999995</v>
      </c>
      <c r="H81" s="80"/>
      <c r="I81" s="80"/>
      <c r="J81" s="80"/>
      <c r="K81" s="83" t="s">
        <v>26</v>
      </c>
      <c r="L81" s="83">
        <v>90</v>
      </c>
      <c r="M81" s="91">
        <f t="shared" ref="M81:M85" si="4">G81</f>
        <v>18436.053749999995</v>
      </c>
      <c r="N81" s="92">
        <f>(O117+((C23*4)*31)+((C19*10)*3)+(34*1.05)+((O117+((C23*4)*31)+((C19*10)*3)+(34*1.05)+(34*2.62))*((0.02875)/12)*3))</f>
        <v>27795.838425260416</v>
      </c>
      <c r="O81" s="93">
        <f>M81-N81</f>
        <v>-9359.78467526042</v>
      </c>
    </row>
    <row r="82" spans="1:17" x14ac:dyDescent="0.25">
      <c r="A82" s="83"/>
      <c r="B82" s="83"/>
      <c r="C82" s="83"/>
      <c r="D82" s="83"/>
      <c r="E82" s="83"/>
      <c r="F82" s="90"/>
      <c r="G82" s="90"/>
      <c r="H82" s="80"/>
      <c r="I82" s="80"/>
      <c r="J82" s="80"/>
      <c r="K82" s="83"/>
      <c r="L82" s="83"/>
      <c r="M82" s="91"/>
      <c r="N82" s="93"/>
      <c r="O82" s="93"/>
    </row>
    <row r="83" spans="1:17" x14ac:dyDescent="0.25">
      <c r="A83" s="83" t="s">
        <v>27</v>
      </c>
      <c r="B83" s="83">
        <v>90</v>
      </c>
      <c r="C83" s="83">
        <v>0</v>
      </c>
      <c r="D83" s="83">
        <f>D79</f>
        <v>44.49</v>
      </c>
      <c r="E83" s="83">
        <v>34</v>
      </c>
      <c r="F83" s="90">
        <f>(90*(E70*N43))+P42</f>
        <v>3577.5</v>
      </c>
      <c r="G83" s="90">
        <f>D83+F83</f>
        <v>3621.99</v>
      </c>
      <c r="H83" s="80"/>
      <c r="I83" s="80"/>
      <c r="J83" s="80"/>
      <c r="K83" s="83" t="s">
        <v>27</v>
      </c>
      <c r="L83" s="83">
        <v>90</v>
      </c>
      <c r="M83" s="91">
        <f t="shared" si="4"/>
        <v>3621.99</v>
      </c>
      <c r="N83" s="92">
        <f>(P117+((P117*0.02875)/12)*3)</f>
        <v>15626.313464322917</v>
      </c>
      <c r="O83" s="93">
        <f>M83-N83</f>
        <v>-12004.323464322917</v>
      </c>
    </row>
    <row r="84" spans="1:17" x14ac:dyDescent="0.25">
      <c r="A84" s="83"/>
      <c r="B84" s="83"/>
      <c r="C84" s="83"/>
      <c r="D84" s="83"/>
      <c r="E84" s="83"/>
      <c r="F84" s="90"/>
      <c r="G84" s="90"/>
      <c r="H84" s="80"/>
      <c r="I84" s="80"/>
      <c r="J84" s="80"/>
      <c r="K84" s="83"/>
      <c r="L84" s="83"/>
      <c r="M84" s="91"/>
      <c r="N84" s="93"/>
      <c r="O84" s="93"/>
    </row>
    <row r="85" spans="1:17" x14ac:dyDescent="0.25">
      <c r="A85" s="83" t="s">
        <v>28</v>
      </c>
      <c r="B85" s="83">
        <v>90</v>
      </c>
      <c r="C85" s="83">
        <v>3</v>
      </c>
      <c r="D85" s="83">
        <f>(K95*11)*C85</f>
        <v>1996.5</v>
      </c>
      <c r="E85" s="83">
        <v>31</v>
      </c>
      <c r="F85" s="90">
        <f>E85*((4+(G45/100))*K99)</f>
        <v>25519.200000000001</v>
      </c>
      <c r="G85" s="90">
        <f>(D85)+(F85)</f>
        <v>27515.7</v>
      </c>
      <c r="H85" s="80"/>
      <c r="I85" s="80"/>
      <c r="J85" s="80"/>
      <c r="K85" s="83" t="s">
        <v>28</v>
      </c>
      <c r="L85" s="83">
        <v>90</v>
      </c>
      <c r="M85" s="91">
        <f t="shared" si="4"/>
        <v>27515.7</v>
      </c>
      <c r="N85" s="92">
        <f>Q117+((H99*4)*31)+((H95*10)*3)+(34*2.62)+((Q117+((H99*4)*31)+((H95*10)*3)+(34*2.62))*((0.02875)/12)*3)</f>
        <v>29976.037755468751</v>
      </c>
      <c r="O85" s="93">
        <f>(M85-N85)</f>
        <v>-2460.3377554687504</v>
      </c>
    </row>
    <row r="86" spans="1:17" x14ac:dyDescent="0.25">
      <c r="A86" s="83"/>
      <c r="B86" s="83"/>
      <c r="C86" s="83"/>
      <c r="D86" s="83"/>
      <c r="E86" s="83"/>
      <c r="F86" s="90"/>
      <c r="G86" s="90"/>
      <c r="H86" s="80"/>
      <c r="I86" s="80"/>
      <c r="J86" s="80"/>
      <c r="K86" s="83"/>
      <c r="L86" s="83"/>
      <c r="M86" s="91"/>
      <c r="N86" s="93"/>
      <c r="O86" s="93"/>
    </row>
    <row r="87" spans="1:17" x14ac:dyDescent="0.25">
      <c r="I87" s="7"/>
    </row>
    <row r="89" spans="1:17" x14ac:dyDescent="0.25">
      <c r="M89" s="11" t="s">
        <v>130</v>
      </c>
      <c r="N89" s="2"/>
      <c r="O89" s="2"/>
      <c r="P89" s="2"/>
      <c r="Q89" s="2"/>
    </row>
    <row r="90" spans="1:17" x14ac:dyDescent="0.25">
      <c r="M90" s="11" t="s">
        <v>123</v>
      </c>
      <c r="N90" s="105" t="s">
        <v>85</v>
      </c>
      <c r="O90" s="105"/>
      <c r="P90" s="105"/>
      <c r="Q90" s="105"/>
    </row>
    <row r="91" spans="1:17" x14ac:dyDescent="0.25">
      <c r="A91" s="1"/>
      <c r="M91" s="11" t="s">
        <v>131</v>
      </c>
      <c r="N91" s="11">
        <v>1</v>
      </c>
      <c r="O91" s="11">
        <v>2</v>
      </c>
      <c r="P91" s="11">
        <v>3</v>
      </c>
      <c r="Q91" s="11">
        <v>4</v>
      </c>
    </row>
    <row r="92" spans="1:17" x14ac:dyDescent="0.25">
      <c r="A92" s="10" t="s">
        <v>198</v>
      </c>
      <c r="M92" s="52" t="s">
        <v>52</v>
      </c>
      <c r="N92" s="2"/>
      <c r="O92" s="2"/>
      <c r="P92" s="2"/>
      <c r="Q92" s="2"/>
    </row>
    <row r="93" spans="1:17" x14ac:dyDescent="0.25">
      <c r="A93" s="10"/>
      <c r="B93" s="49" t="s">
        <v>111</v>
      </c>
      <c r="C93" s="49"/>
      <c r="D93" s="49"/>
      <c r="E93" s="49"/>
      <c r="F93" s="49"/>
      <c r="G93" t="s">
        <v>112</v>
      </c>
      <c r="M93" s="62" t="s">
        <v>74</v>
      </c>
      <c r="N93" s="63">
        <f>B41</f>
        <v>4045.2833333333328</v>
      </c>
      <c r="O93" s="63">
        <f>B41</f>
        <v>4045.2833333333328</v>
      </c>
      <c r="P93" s="63">
        <f>B41</f>
        <v>4045.2833333333328</v>
      </c>
      <c r="Q93" s="63">
        <v>0</v>
      </c>
    </row>
    <row r="94" spans="1:17" x14ac:dyDescent="0.25">
      <c r="B94" s="11">
        <v>0</v>
      </c>
      <c r="C94" s="11" t="s">
        <v>36</v>
      </c>
      <c r="D94" s="11" t="s">
        <v>37</v>
      </c>
      <c r="E94" s="11" t="s">
        <v>38</v>
      </c>
      <c r="F94" s="11" t="s">
        <v>39</v>
      </c>
      <c r="G94" s="11" t="s">
        <v>35</v>
      </c>
      <c r="H94" s="11" t="s">
        <v>36</v>
      </c>
      <c r="I94" s="11" t="s">
        <v>37</v>
      </c>
      <c r="J94" s="11" t="s">
        <v>38</v>
      </c>
      <c r="K94" s="11" t="s">
        <v>39</v>
      </c>
      <c r="M94" s="62" t="s">
        <v>75</v>
      </c>
      <c r="N94" s="63">
        <f>B41</f>
        <v>4045.2833333333328</v>
      </c>
      <c r="O94" s="63">
        <f>B41</f>
        <v>4045.2833333333328</v>
      </c>
      <c r="P94" s="63">
        <f>B41</f>
        <v>4045.2833333333328</v>
      </c>
      <c r="Q94" s="63">
        <v>0</v>
      </c>
    </row>
    <row r="95" spans="1:17" x14ac:dyDescent="0.25">
      <c r="A95" s="10" t="s">
        <v>103</v>
      </c>
      <c r="B95" s="22">
        <v>74.5</v>
      </c>
      <c r="C95" s="22">
        <v>73</v>
      </c>
      <c r="D95" s="22">
        <v>73.5</v>
      </c>
      <c r="E95" s="22">
        <v>76.5</v>
      </c>
      <c r="F95" s="22">
        <v>68.5</v>
      </c>
      <c r="G95" s="22">
        <v>55</v>
      </c>
      <c r="H95" s="22">
        <v>55</v>
      </c>
      <c r="I95" s="22">
        <v>59</v>
      </c>
      <c r="J95" s="22">
        <v>65</v>
      </c>
      <c r="K95" s="22">
        <v>60.5</v>
      </c>
      <c r="M95" s="52" t="s">
        <v>54</v>
      </c>
      <c r="N95" s="63"/>
      <c r="O95" s="63"/>
      <c r="P95" s="63"/>
      <c r="Q95" s="63"/>
    </row>
    <row r="96" spans="1:17" x14ac:dyDescent="0.25">
      <c r="A96" s="10"/>
      <c r="B96" s="6"/>
      <c r="C96" s="6"/>
      <c r="D96" s="6"/>
      <c r="E96" s="6"/>
      <c r="F96" s="6"/>
      <c r="G96" s="6"/>
      <c r="H96" s="6"/>
      <c r="I96" s="6"/>
      <c r="J96" s="6"/>
      <c r="K96" s="6"/>
      <c r="M96" s="62" t="s">
        <v>74</v>
      </c>
      <c r="N96" s="63">
        <f>B43</f>
        <v>6419</v>
      </c>
      <c r="O96" s="63">
        <f>B43</f>
        <v>6419</v>
      </c>
      <c r="P96" s="63">
        <f>B43</f>
        <v>6419</v>
      </c>
      <c r="Q96" s="63">
        <v>0</v>
      </c>
    </row>
    <row r="97" spans="1:17" x14ac:dyDescent="0.25">
      <c r="A97" s="10" t="s">
        <v>31</v>
      </c>
      <c r="B97" s="6"/>
      <c r="C97" s="6"/>
      <c r="D97" s="6"/>
      <c r="E97" s="6"/>
      <c r="F97" s="6"/>
      <c r="G97" s="6"/>
      <c r="H97" s="6"/>
      <c r="I97" s="6"/>
      <c r="J97" s="6"/>
      <c r="K97" s="6"/>
      <c r="M97" s="62" t="s">
        <v>75</v>
      </c>
      <c r="N97" s="63">
        <f>C43</f>
        <v>8144</v>
      </c>
      <c r="O97" s="63">
        <f>C43</f>
        <v>8144</v>
      </c>
      <c r="P97" s="63">
        <f>C43</f>
        <v>8144</v>
      </c>
      <c r="Q97" s="63">
        <v>0</v>
      </c>
    </row>
    <row r="98" spans="1:17" x14ac:dyDescent="0.25">
      <c r="A98" s="10" t="s">
        <v>48</v>
      </c>
      <c r="B98" s="2">
        <v>219</v>
      </c>
      <c r="C98" s="2">
        <v>225</v>
      </c>
      <c r="D98" s="2">
        <v>234</v>
      </c>
      <c r="E98" s="2">
        <v>242.5</v>
      </c>
      <c r="F98" s="2">
        <v>221.5</v>
      </c>
      <c r="G98" s="51">
        <v>154</v>
      </c>
      <c r="H98" s="51">
        <v>178.5</v>
      </c>
      <c r="I98" s="51">
        <v>163.5</v>
      </c>
      <c r="J98" s="51">
        <v>150</v>
      </c>
      <c r="K98" s="51">
        <v>180</v>
      </c>
      <c r="M98" s="52" t="s">
        <v>124</v>
      </c>
      <c r="N98" s="63"/>
      <c r="O98" s="63"/>
      <c r="P98" s="63"/>
      <c r="Q98" s="63"/>
    </row>
    <row r="99" spans="1:17" x14ac:dyDescent="0.25">
      <c r="A99" s="10" t="s">
        <v>104</v>
      </c>
      <c r="B99" s="24">
        <v>214.5</v>
      </c>
      <c r="C99" s="24">
        <v>193</v>
      </c>
      <c r="D99" s="24">
        <v>208.5</v>
      </c>
      <c r="E99" s="24">
        <v>212.5</v>
      </c>
      <c r="F99" s="24">
        <v>205</v>
      </c>
      <c r="G99" s="24">
        <v>145.5</v>
      </c>
      <c r="H99" s="24">
        <v>157.5</v>
      </c>
      <c r="I99" s="24">
        <v>164.5</v>
      </c>
      <c r="J99" s="24">
        <v>165.5</v>
      </c>
      <c r="K99" s="24">
        <v>168</v>
      </c>
      <c r="M99" s="62" t="s">
        <v>74</v>
      </c>
      <c r="N99" s="63">
        <f>P42</f>
        <v>900</v>
      </c>
      <c r="O99" s="63">
        <f>P42</f>
        <v>900</v>
      </c>
      <c r="P99" s="63">
        <v>0</v>
      </c>
      <c r="Q99" s="63">
        <f>P42</f>
        <v>900</v>
      </c>
    </row>
    <row r="100" spans="1:17" x14ac:dyDescent="0.25">
      <c r="A100" s="10" t="s">
        <v>105</v>
      </c>
      <c r="B100" s="24">
        <v>198</v>
      </c>
      <c r="C100" s="24">
        <v>178</v>
      </c>
      <c r="D100" s="24">
        <v>186.5</v>
      </c>
      <c r="E100" s="24">
        <v>191.5</v>
      </c>
      <c r="F100" s="24">
        <v>194.5</v>
      </c>
      <c r="G100" s="24">
        <v>132</v>
      </c>
      <c r="H100" s="24">
        <v>138.5</v>
      </c>
      <c r="I100" s="24">
        <v>152</v>
      </c>
      <c r="J100" s="24">
        <v>152</v>
      </c>
      <c r="K100" s="24">
        <v>156.5</v>
      </c>
      <c r="M100" s="62" t="s">
        <v>75</v>
      </c>
      <c r="N100" s="63">
        <f>P42</f>
        <v>900</v>
      </c>
      <c r="O100" s="63">
        <f>P42</f>
        <v>900</v>
      </c>
      <c r="P100" s="63">
        <v>0</v>
      </c>
      <c r="Q100" s="63">
        <f>P42</f>
        <v>900</v>
      </c>
    </row>
    <row r="101" spans="1:17" x14ac:dyDescent="0.25">
      <c r="A101" s="10" t="s">
        <v>49</v>
      </c>
      <c r="B101" s="24">
        <v>178.5</v>
      </c>
      <c r="C101" s="24">
        <v>161</v>
      </c>
      <c r="D101" s="24">
        <v>166</v>
      </c>
      <c r="E101" s="24">
        <v>169</v>
      </c>
      <c r="F101" s="24">
        <v>171.5</v>
      </c>
      <c r="G101" s="24">
        <v>120.5</v>
      </c>
      <c r="H101" s="24">
        <v>124.5</v>
      </c>
      <c r="I101" s="24">
        <v>137</v>
      </c>
      <c r="J101" s="24">
        <v>138.5</v>
      </c>
      <c r="K101" s="24">
        <v>139</v>
      </c>
      <c r="M101" s="52" t="s">
        <v>125</v>
      </c>
      <c r="N101" s="63"/>
      <c r="O101" s="63"/>
      <c r="P101" s="63"/>
      <c r="Q101" s="63"/>
    </row>
    <row r="102" spans="1:17" x14ac:dyDescent="0.25">
      <c r="A102" s="10" t="s">
        <v>106</v>
      </c>
      <c r="B102" s="24">
        <v>172</v>
      </c>
      <c r="C102" s="24">
        <v>150.5</v>
      </c>
      <c r="D102" s="24">
        <v>155</v>
      </c>
      <c r="E102" s="24">
        <v>154</v>
      </c>
      <c r="F102" s="24">
        <v>158</v>
      </c>
      <c r="G102" s="24">
        <v>120</v>
      </c>
      <c r="H102" s="24">
        <v>123.5</v>
      </c>
      <c r="I102" s="24">
        <v>132.5</v>
      </c>
      <c r="J102" s="24">
        <v>128.5</v>
      </c>
      <c r="K102" s="24">
        <v>128.5</v>
      </c>
      <c r="M102" s="62" t="s">
        <v>74</v>
      </c>
      <c r="N102" s="63">
        <f>N53</f>
        <v>1781.25</v>
      </c>
      <c r="O102" s="63">
        <f>N53</f>
        <v>1781.25</v>
      </c>
      <c r="P102" s="63">
        <f>N53</f>
        <v>1781.25</v>
      </c>
      <c r="Q102" s="63">
        <f>N53</f>
        <v>1781.25</v>
      </c>
    </row>
    <row r="103" spans="1:17" x14ac:dyDescent="0.25">
      <c r="A103" s="10" t="s">
        <v>107</v>
      </c>
      <c r="B103" s="51">
        <v>165.5</v>
      </c>
      <c r="C103" s="51">
        <v>139.5</v>
      </c>
      <c r="D103" s="51">
        <v>145</v>
      </c>
      <c r="E103" s="51">
        <v>141.5</v>
      </c>
      <c r="F103" s="51">
        <v>141.5</v>
      </c>
      <c r="G103" s="51">
        <v>116</v>
      </c>
      <c r="H103" s="51">
        <v>126.5</v>
      </c>
      <c r="I103" s="51">
        <v>129.5</v>
      </c>
      <c r="J103" s="51">
        <v>123.5</v>
      </c>
      <c r="K103" s="51">
        <v>121</v>
      </c>
      <c r="M103" s="62" t="s">
        <v>75</v>
      </c>
      <c r="N103" s="63">
        <f>N53</f>
        <v>1781.25</v>
      </c>
      <c r="O103" s="63">
        <f>N53</f>
        <v>1781.25</v>
      </c>
      <c r="P103" s="63">
        <f>N53</f>
        <v>1781.25</v>
      </c>
      <c r="Q103" s="63">
        <f>N53</f>
        <v>1781.25</v>
      </c>
    </row>
    <row r="104" spans="1:17" x14ac:dyDescent="0.25">
      <c r="A104" t="s">
        <v>108</v>
      </c>
      <c r="M104" s="52" t="s">
        <v>126</v>
      </c>
      <c r="N104" s="63"/>
      <c r="O104" s="63"/>
      <c r="P104" s="63"/>
      <c r="Q104" s="63"/>
    </row>
    <row r="105" spans="1:17" x14ac:dyDescent="0.25">
      <c r="M105" s="62" t="s">
        <v>74</v>
      </c>
      <c r="N105" s="63">
        <f>Q21</f>
        <v>200</v>
      </c>
      <c r="O105" s="63">
        <f>P21</f>
        <v>200</v>
      </c>
      <c r="P105" s="63">
        <f>Q21</f>
        <v>200</v>
      </c>
      <c r="Q105" s="63">
        <v>0</v>
      </c>
    </row>
    <row r="106" spans="1:17" x14ac:dyDescent="0.25">
      <c r="M106" s="62" t="s">
        <v>75</v>
      </c>
      <c r="N106" s="63">
        <f>Q21</f>
        <v>200</v>
      </c>
      <c r="O106" s="63">
        <f>P21</f>
        <v>200</v>
      </c>
      <c r="P106" s="63">
        <f>Q21</f>
        <v>200</v>
      </c>
      <c r="Q106" s="63">
        <v>0</v>
      </c>
    </row>
    <row r="107" spans="1:17" x14ac:dyDescent="0.25">
      <c r="A107" s="10" t="s">
        <v>199</v>
      </c>
      <c r="B107" s="10"/>
      <c r="C107" s="10"/>
      <c r="D107" s="10"/>
      <c r="E107" s="10"/>
      <c r="F107" s="10"/>
      <c r="G107" s="10"/>
      <c r="H107" s="10"/>
      <c r="I107" s="10"/>
      <c r="M107" s="52" t="s">
        <v>127</v>
      </c>
      <c r="N107" s="63"/>
      <c r="O107" s="63"/>
      <c r="P107" s="63"/>
      <c r="Q107" s="63"/>
    </row>
    <row r="108" spans="1:17" x14ac:dyDescent="0.25">
      <c r="A108" s="11" t="s">
        <v>85</v>
      </c>
      <c r="B108" s="11" t="s">
        <v>115</v>
      </c>
      <c r="C108" s="105" t="s">
        <v>116</v>
      </c>
      <c r="D108" s="105"/>
      <c r="E108" s="105"/>
      <c r="F108" s="102" t="s">
        <v>117</v>
      </c>
      <c r="G108" s="103"/>
      <c r="H108" s="103"/>
      <c r="I108" s="104"/>
      <c r="M108" s="62" t="s">
        <v>74</v>
      </c>
      <c r="N108" s="63">
        <f>B44</f>
        <v>793.39249999999993</v>
      </c>
      <c r="O108" s="63">
        <f>B44</f>
        <v>793.39249999999993</v>
      </c>
      <c r="P108" s="63">
        <f>B44</f>
        <v>793.39249999999993</v>
      </c>
      <c r="Q108" s="63">
        <f>B44</f>
        <v>793.39249999999993</v>
      </c>
    </row>
    <row r="109" spans="1:17" x14ac:dyDescent="0.25">
      <c r="A109" s="11"/>
      <c r="B109" s="11"/>
      <c r="C109" s="11" t="s">
        <v>32</v>
      </c>
      <c r="D109" s="11" t="s">
        <v>33</v>
      </c>
      <c r="E109" s="11" t="s">
        <v>34</v>
      </c>
      <c r="F109" s="11" t="s">
        <v>34</v>
      </c>
      <c r="G109" s="11" t="s">
        <v>84</v>
      </c>
      <c r="H109" s="11" t="s">
        <v>118</v>
      </c>
      <c r="I109" s="11" t="s">
        <v>119</v>
      </c>
      <c r="M109" s="62" t="s">
        <v>75</v>
      </c>
      <c r="N109" s="63">
        <f>B44</f>
        <v>793.39249999999993</v>
      </c>
      <c r="O109" s="63">
        <f>B44</f>
        <v>793.39249999999993</v>
      </c>
      <c r="P109" s="63">
        <f>B44</f>
        <v>793.39249999999993</v>
      </c>
      <c r="Q109" s="63">
        <f>B44</f>
        <v>793.39249999999993</v>
      </c>
    </row>
    <row r="110" spans="1:17" x14ac:dyDescent="0.25">
      <c r="A110" s="2">
        <v>1</v>
      </c>
      <c r="B110" s="2">
        <v>31</v>
      </c>
      <c r="C110" s="53">
        <v>1.05</v>
      </c>
      <c r="D110" s="53">
        <v>1.05</v>
      </c>
      <c r="E110" s="53">
        <v>1.05</v>
      </c>
      <c r="F110" s="53">
        <v>2.62</v>
      </c>
      <c r="G110" s="53">
        <v>2.62</v>
      </c>
      <c r="H110" s="53">
        <v>2.62</v>
      </c>
      <c r="I110" s="53">
        <v>2.62</v>
      </c>
      <c r="M110" s="52" t="s">
        <v>128</v>
      </c>
      <c r="N110" s="63"/>
      <c r="O110" s="63"/>
      <c r="P110" s="63"/>
      <c r="Q110" s="63"/>
    </row>
    <row r="111" spans="1:17" x14ac:dyDescent="0.25">
      <c r="A111" s="2"/>
      <c r="B111" s="2">
        <v>25</v>
      </c>
      <c r="C111" s="53">
        <v>1.3</v>
      </c>
      <c r="D111" s="53">
        <v>1.3</v>
      </c>
      <c r="E111" s="53">
        <v>1.3</v>
      </c>
      <c r="F111" s="53">
        <v>3.25</v>
      </c>
      <c r="G111" s="53">
        <v>3.25</v>
      </c>
      <c r="H111" s="53">
        <v>3.25</v>
      </c>
      <c r="I111" s="53">
        <v>3.25</v>
      </c>
      <c r="M111" s="62" t="s">
        <v>74</v>
      </c>
      <c r="N111" s="63">
        <v>0</v>
      </c>
      <c r="O111" s="63">
        <v>0</v>
      </c>
      <c r="P111" s="63">
        <v>0</v>
      </c>
      <c r="Q111" s="63">
        <f>N49</f>
        <v>5018.3999999999996</v>
      </c>
    </row>
    <row r="112" spans="1:17" x14ac:dyDescent="0.25">
      <c r="A112" s="2">
        <v>2</v>
      </c>
      <c r="B112" s="2">
        <v>31</v>
      </c>
      <c r="C112" s="53">
        <v>10.48</v>
      </c>
      <c r="D112" s="53">
        <v>10.48</v>
      </c>
      <c r="E112" s="53">
        <v>10.48</v>
      </c>
      <c r="F112" s="53">
        <v>2.62</v>
      </c>
      <c r="G112" s="53">
        <v>2.62</v>
      </c>
      <c r="H112" s="53">
        <v>2.62</v>
      </c>
      <c r="I112" s="53">
        <v>2.62</v>
      </c>
      <c r="M112" s="62" t="s">
        <v>75</v>
      </c>
      <c r="N112" s="63">
        <v>0</v>
      </c>
      <c r="O112" s="63">
        <v>0</v>
      </c>
      <c r="P112" s="63">
        <v>0</v>
      </c>
      <c r="Q112" s="63">
        <f>N50</f>
        <v>5510.4</v>
      </c>
    </row>
    <row r="113" spans="1:17" x14ac:dyDescent="0.25">
      <c r="A113" s="2"/>
      <c r="B113" s="2">
        <v>25</v>
      </c>
      <c r="C113" s="53">
        <v>13</v>
      </c>
      <c r="D113" s="53">
        <v>13</v>
      </c>
      <c r="E113" s="53">
        <v>13</v>
      </c>
      <c r="F113" s="53">
        <v>3.25</v>
      </c>
      <c r="G113" s="53">
        <v>3.25</v>
      </c>
      <c r="H113" s="53">
        <v>3.25</v>
      </c>
      <c r="I113" s="53">
        <v>3.25</v>
      </c>
      <c r="M113" s="52" t="s">
        <v>129</v>
      </c>
      <c r="N113" s="63"/>
      <c r="O113" s="63"/>
      <c r="P113" s="63"/>
      <c r="Q113" s="63"/>
    </row>
    <row r="114" spans="1:17" x14ac:dyDescent="0.25">
      <c r="A114" s="2">
        <v>3</v>
      </c>
      <c r="B114" s="2">
        <v>31</v>
      </c>
      <c r="C114" s="53">
        <v>0</v>
      </c>
      <c r="D114" s="53">
        <v>0</v>
      </c>
      <c r="E114" s="53">
        <v>0</v>
      </c>
      <c r="F114" s="53">
        <v>0</v>
      </c>
      <c r="G114" s="53">
        <v>0</v>
      </c>
      <c r="H114" s="53">
        <v>0</v>
      </c>
      <c r="I114" s="53">
        <v>0</v>
      </c>
      <c r="M114" s="62" t="s">
        <v>74</v>
      </c>
      <c r="N114" s="63">
        <v>0</v>
      </c>
      <c r="O114" s="63">
        <v>0</v>
      </c>
      <c r="P114" s="63">
        <f>((0.875*34)*0.85)*90</f>
        <v>2275.875</v>
      </c>
      <c r="Q114" s="63">
        <v>0</v>
      </c>
    </row>
    <row r="115" spans="1:17" ht="15.75" thickBot="1" x14ac:dyDescent="0.3">
      <c r="A115" s="2"/>
      <c r="B115" s="2">
        <v>25</v>
      </c>
      <c r="C115" s="53">
        <v>0</v>
      </c>
      <c r="D115" s="53">
        <v>0</v>
      </c>
      <c r="E115" s="53">
        <v>0</v>
      </c>
      <c r="F115" s="53">
        <v>0</v>
      </c>
      <c r="G115" s="53">
        <v>0</v>
      </c>
      <c r="H115" s="53">
        <v>0</v>
      </c>
      <c r="I115" s="53">
        <v>0</v>
      </c>
      <c r="M115" s="64" t="s">
        <v>75</v>
      </c>
      <c r="N115" s="65">
        <v>0</v>
      </c>
      <c r="O115" s="65">
        <v>0</v>
      </c>
      <c r="P115" s="65">
        <f>((0.875*28)*0.85)*120</f>
        <v>2499</v>
      </c>
      <c r="Q115" s="65">
        <v>0</v>
      </c>
    </row>
    <row r="116" spans="1:17" ht="15.75" thickTop="1" x14ac:dyDescent="0.25">
      <c r="A116" s="2">
        <v>4</v>
      </c>
      <c r="B116" s="2">
        <v>31</v>
      </c>
      <c r="C116" s="53">
        <v>0</v>
      </c>
      <c r="D116" s="53">
        <v>0</v>
      </c>
      <c r="E116" s="53">
        <v>0</v>
      </c>
      <c r="F116" s="53">
        <v>2.62</v>
      </c>
      <c r="G116" s="53">
        <v>2.62</v>
      </c>
      <c r="H116" s="53">
        <v>2.62</v>
      </c>
      <c r="I116" s="53">
        <v>2.62</v>
      </c>
      <c r="M116" s="42" t="s">
        <v>44</v>
      </c>
      <c r="N116" s="33"/>
      <c r="O116" s="33"/>
      <c r="P116" s="33"/>
      <c r="Q116" s="33"/>
    </row>
    <row r="117" spans="1:17" x14ac:dyDescent="0.25">
      <c r="A117" s="2"/>
      <c r="B117" s="2">
        <v>25</v>
      </c>
      <c r="C117" s="53">
        <v>0</v>
      </c>
      <c r="D117" s="53">
        <v>0</v>
      </c>
      <c r="E117" s="53">
        <v>0</v>
      </c>
      <c r="F117" s="53">
        <v>3.25</v>
      </c>
      <c r="G117" s="53">
        <v>3.25</v>
      </c>
      <c r="H117" s="53">
        <v>3.25</v>
      </c>
      <c r="I117" s="53">
        <v>3.25</v>
      </c>
      <c r="M117" s="62" t="s">
        <v>74</v>
      </c>
      <c r="N117" s="63">
        <f>SUM(N93+N96+N99+N102+N105+N108+N111+N114)</f>
        <v>14138.925833333333</v>
      </c>
      <c r="O117" s="63">
        <f t="shared" ref="O117:Q117" si="5">SUM(O93+O96+O99+O102+O105+O108+O111+O114)</f>
        <v>14138.925833333333</v>
      </c>
      <c r="P117" s="63">
        <f t="shared" si="5"/>
        <v>15514.800833333333</v>
      </c>
      <c r="Q117" s="63">
        <f t="shared" si="5"/>
        <v>8493.0424999999996</v>
      </c>
    </row>
    <row r="118" spans="1:17" ht="15.75" thickBot="1" x14ac:dyDescent="0.3">
      <c r="A118" s="54" t="s">
        <v>120</v>
      </c>
      <c r="M118" s="64" t="s">
        <v>75</v>
      </c>
      <c r="N118" s="63">
        <f>SUM(N94+N97+N100+N103+N106+N109+N112+N115)</f>
        <v>15863.925833333333</v>
      </c>
      <c r="O118" s="63">
        <f t="shared" ref="O118:Q118" si="6">SUM(O94+O97+O100+O103+O106+O109+O112+O115)</f>
        <v>15863.925833333333</v>
      </c>
      <c r="P118" s="63">
        <f t="shared" si="6"/>
        <v>17462.925833333335</v>
      </c>
      <c r="Q118" s="63">
        <f t="shared" si="6"/>
        <v>8985.0424999999996</v>
      </c>
    </row>
    <row r="119" spans="1:17" ht="15.75" thickTop="1" x14ac:dyDescent="0.25"/>
    <row r="122" spans="1:17" x14ac:dyDescent="0.25">
      <c r="D122" s="2" t="s">
        <v>141</v>
      </c>
      <c r="E122" s="2"/>
      <c r="F122" s="2"/>
      <c r="G122" s="2"/>
      <c r="H122" s="2"/>
      <c r="J122" s="2" t="s">
        <v>142</v>
      </c>
      <c r="K122" s="2"/>
      <c r="L122" s="2"/>
      <c r="M122" s="2"/>
      <c r="N122" s="2"/>
    </row>
    <row r="123" spans="1:17" x14ac:dyDescent="0.25">
      <c r="D123" s="67">
        <v>33178</v>
      </c>
      <c r="E123" s="109" t="s">
        <v>138</v>
      </c>
      <c r="F123" s="109"/>
      <c r="G123" s="109" t="s">
        <v>139</v>
      </c>
      <c r="H123" s="109"/>
      <c r="J123" s="2"/>
      <c r="K123" s="109" t="s">
        <v>138</v>
      </c>
      <c r="L123" s="109"/>
      <c r="M123" s="109" t="s">
        <v>139</v>
      </c>
      <c r="N123" s="109"/>
    </row>
    <row r="124" spans="1:17" x14ac:dyDescent="0.25">
      <c r="D124" s="2" t="s">
        <v>135</v>
      </c>
      <c r="E124" s="2" t="s">
        <v>136</v>
      </c>
      <c r="F124" s="2" t="s">
        <v>137</v>
      </c>
      <c r="G124" s="2" t="s">
        <v>136</v>
      </c>
      <c r="H124" s="2" t="s">
        <v>137</v>
      </c>
      <c r="J124" s="2" t="s">
        <v>135</v>
      </c>
      <c r="K124" s="2" t="s">
        <v>136</v>
      </c>
      <c r="L124" s="2" t="s">
        <v>137</v>
      </c>
      <c r="M124" s="2" t="s">
        <v>136</v>
      </c>
      <c r="N124" s="2" t="s">
        <v>137</v>
      </c>
    </row>
    <row r="125" spans="1:17" x14ac:dyDescent="0.25">
      <c r="D125" s="2">
        <v>50</v>
      </c>
      <c r="E125" s="2"/>
      <c r="F125" s="2"/>
      <c r="G125" s="2"/>
      <c r="H125" s="2"/>
      <c r="J125" s="2">
        <v>50</v>
      </c>
      <c r="K125" s="2"/>
      <c r="L125" s="2"/>
      <c r="M125" s="2"/>
      <c r="N125" s="2"/>
    </row>
    <row r="126" spans="1:17" x14ac:dyDescent="0.25">
      <c r="D126" s="2">
        <v>75</v>
      </c>
      <c r="E126" s="2"/>
      <c r="F126" s="2"/>
      <c r="G126" s="2"/>
      <c r="H126" s="2"/>
      <c r="J126" s="2">
        <v>75</v>
      </c>
      <c r="K126" s="2"/>
      <c r="L126" s="2"/>
      <c r="M126" s="2"/>
      <c r="N126" s="2"/>
    </row>
    <row r="127" spans="1:17" x14ac:dyDescent="0.25">
      <c r="D127" s="2">
        <v>100</v>
      </c>
      <c r="E127" s="2"/>
      <c r="F127" s="2"/>
      <c r="G127" s="2"/>
      <c r="H127" s="2"/>
      <c r="J127" s="2">
        <v>100</v>
      </c>
      <c r="K127" s="2"/>
      <c r="L127" s="2"/>
      <c r="M127" s="2"/>
      <c r="N127" s="2"/>
    </row>
    <row r="128" spans="1:17" x14ac:dyDescent="0.25">
      <c r="D128" s="2"/>
      <c r="E128" s="2"/>
      <c r="F128" s="2"/>
      <c r="G128" s="2"/>
      <c r="H128" s="2"/>
      <c r="J128" s="2"/>
      <c r="K128" s="2"/>
      <c r="L128" s="2"/>
      <c r="M128" s="2"/>
      <c r="N128" s="2"/>
    </row>
    <row r="129" spans="1:15" x14ac:dyDescent="0.25">
      <c r="D129" t="s">
        <v>143</v>
      </c>
      <c r="J129" t="s">
        <v>143</v>
      </c>
    </row>
    <row r="130" spans="1:15" x14ac:dyDescent="0.25">
      <c r="D130" s="2" t="s">
        <v>135</v>
      </c>
      <c r="E130" s="2" t="s">
        <v>136</v>
      </c>
      <c r="F130" s="2" t="s">
        <v>137</v>
      </c>
      <c r="G130" s="2" t="s">
        <v>136</v>
      </c>
      <c r="H130" s="2" t="s">
        <v>137</v>
      </c>
      <c r="J130" s="2" t="s">
        <v>135</v>
      </c>
      <c r="K130" s="2" t="s">
        <v>136</v>
      </c>
      <c r="L130" s="2" t="s">
        <v>137</v>
      </c>
      <c r="M130" s="2" t="s">
        <v>136</v>
      </c>
      <c r="N130" s="2" t="s">
        <v>137</v>
      </c>
    </row>
    <row r="131" spans="1:15" x14ac:dyDescent="0.25">
      <c r="D131" s="2">
        <v>50</v>
      </c>
      <c r="E131" s="2"/>
      <c r="F131" s="2"/>
      <c r="G131" s="2"/>
      <c r="H131" s="2"/>
      <c r="J131" s="2">
        <v>50</v>
      </c>
      <c r="K131" s="2"/>
      <c r="L131" s="2"/>
      <c r="M131" s="2"/>
      <c r="N131" s="2"/>
    </row>
    <row r="132" spans="1:15" x14ac:dyDescent="0.25">
      <c r="D132" s="2">
        <v>75</v>
      </c>
      <c r="E132" s="2"/>
      <c r="F132" s="2"/>
      <c r="G132" s="2"/>
      <c r="H132" s="2"/>
      <c r="J132" s="2">
        <v>75</v>
      </c>
      <c r="K132" s="2"/>
      <c r="L132" s="2"/>
      <c r="M132" s="2"/>
      <c r="N132" s="2"/>
    </row>
    <row r="133" spans="1:15" x14ac:dyDescent="0.25">
      <c r="D133" s="2">
        <v>100</v>
      </c>
      <c r="E133" s="2"/>
      <c r="F133" s="2"/>
      <c r="G133" s="2"/>
      <c r="H133" s="2"/>
      <c r="J133" s="2">
        <v>100</v>
      </c>
      <c r="K133" s="2"/>
      <c r="L133" s="2"/>
      <c r="M133" s="2"/>
      <c r="N133" s="2"/>
    </row>
    <row r="134" spans="1:15" x14ac:dyDescent="0.25">
      <c r="D134" s="2"/>
      <c r="E134" s="2"/>
      <c r="F134" s="2"/>
      <c r="G134" s="2"/>
      <c r="H134" s="2"/>
      <c r="J134" s="2"/>
      <c r="K134" s="2"/>
      <c r="L134" s="2"/>
      <c r="M134" s="2"/>
      <c r="N134" s="2"/>
    </row>
    <row r="135" spans="1:15" x14ac:dyDescent="0.25">
      <c r="D135" s="68">
        <v>33208</v>
      </c>
      <c r="J135" s="68">
        <v>33208</v>
      </c>
    </row>
    <row r="136" spans="1:15" x14ac:dyDescent="0.25">
      <c r="D136" s="2" t="s">
        <v>135</v>
      </c>
      <c r="E136" s="2" t="s">
        <v>136</v>
      </c>
      <c r="F136" s="2" t="s">
        <v>137</v>
      </c>
      <c r="G136" s="2" t="s">
        <v>136</v>
      </c>
      <c r="H136" s="2" t="s">
        <v>137</v>
      </c>
      <c r="J136" s="2" t="s">
        <v>135</v>
      </c>
      <c r="K136" s="2" t="s">
        <v>136</v>
      </c>
      <c r="L136" s="2" t="s">
        <v>137</v>
      </c>
      <c r="M136" s="2" t="s">
        <v>136</v>
      </c>
      <c r="N136" s="2" t="s">
        <v>137</v>
      </c>
    </row>
    <row r="137" spans="1:15" x14ac:dyDescent="0.25">
      <c r="D137" s="2">
        <v>50</v>
      </c>
      <c r="E137" s="2"/>
      <c r="F137" s="2"/>
      <c r="G137" s="2"/>
      <c r="H137" s="2"/>
      <c r="J137" s="2">
        <v>50</v>
      </c>
      <c r="K137" s="2"/>
      <c r="L137" s="2"/>
      <c r="M137" s="2"/>
      <c r="N137" s="2"/>
    </row>
    <row r="138" spans="1:15" x14ac:dyDescent="0.25">
      <c r="D138" s="2">
        <v>75</v>
      </c>
      <c r="E138" s="2"/>
      <c r="F138" s="2"/>
      <c r="G138" s="2"/>
      <c r="H138" s="2"/>
      <c r="J138" s="2">
        <v>75</v>
      </c>
      <c r="K138" s="2"/>
      <c r="L138" s="2"/>
      <c r="M138" s="2"/>
      <c r="N138" s="2"/>
    </row>
    <row r="139" spans="1:15" x14ac:dyDescent="0.25">
      <c r="D139" s="2">
        <v>100</v>
      </c>
      <c r="E139" s="2"/>
      <c r="F139" s="2"/>
      <c r="G139" s="2"/>
      <c r="H139" s="2"/>
      <c r="J139" s="2">
        <v>100</v>
      </c>
      <c r="K139" s="2"/>
      <c r="L139" s="2"/>
      <c r="M139" s="2"/>
      <c r="N139" s="2"/>
    </row>
    <row r="140" spans="1:15" x14ac:dyDescent="0.25">
      <c r="D140" s="2"/>
      <c r="E140" s="2"/>
      <c r="F140" s="2"/>
      <c r="G140" s="2"/>
      <c r="H140" s="2"/>
      <c r="J140" s="2"/>
      <c r="K140" s="2"/>
      <c r="L140" s="2"/>
      <c r="M140" s="2"/>
      <c r="N140" s="2"/>
    </row>
    <row r="143" spans="1:15" x14ac:dyDescent="0.25">
      <c r="D143" s="2" t="s">
        <v>140</v>
      </c>
      <c r="E143" s="2"/>
      <c r="F143" s="2"/>
      <c r="G143" s="2"/>
      <c r="H143" s="2"/>
      <c r="J143" s="2" t="s">
        <v>140</v>
      </c>
      <c r="K143" s="2"/>
      <c r="L143" s="2"/>
      <c r="M143" s="2"/>
      <c r="N143" s="2"/>
    </row>
    <row r="144" spans="1:15" x14ac:dyDescent="0.25">
      <c r="A144" t="s">
        <v>152</v>
      </c>
      <c r="C144" t="s">
        <v>144</v>
      </c>
      <c r="D144" t="s">
        <v>145</v>
      </c>
      <c r="E144" t="s">
        <v>146</v>
      </c>
      <c r="F144" t="s">
        <v>147</v>
      </c>
      <c r="G144" t="s">
        <v>148</v>
      </c>
      <c r="I144" t="s">
        <v>153</v>
      </c>
      <c r="K144" t="s">
        <v>144</v>
      </c>
      <c r="L144" t="s">
        <v>145</v>
      </c>
      <c r="M144" t="s">
        <v>146</v>
      </c>
      <c r="N144" t="s">
        <v>147</v>
      </c>
      <c r="O144" t="s">
        <v>148</v>
      </c>
    </row>
    <row r="145" spans="1:16" x14ac:dyDescent="0.25">
      <c r="A145">
        <v>50</v>
      </c>
      <c r="B145">
        <v>90</v>
      </c>
      <c r="C145" s="39">
        <v>46581.25</v>
      </c>
      <c r="D145" s="61">
        <f>N117</f>
        <v>14138.925833333333</v>
      </c>
      <c r="J145">
        <v>90</v>
      </c>
      <c r="L145" s="61">
        <f>N117</f>
        <v>14138.925833333333</v>
      </c>
    </row>
    <row r="146" spans="1:16" x14ac:dyDescent="0.25">
      <c r="B146">
        <v>120</v>
      </c>
      <c r="C146" s="39">
        <v>48400</v>
      </c>
      <c r="D146" s="61">
        <f>O118</f>
        <v>15863.925833333333</v>
      </c>
      <c r="J146">
        <v>120</v>
      </c>
      <c r="L146" s="61">
        <f>O118</f>
        <v>15863.925833333333</v>
      </c>
    </row>
    <row r="147" spans="1:16" x14ac:dyDescent="0.25">
      <c r="A147" t="s">
        <v>149</v>
      </c>
      <c r="C147" t="s">
        <v>144</v>
      </c>
      <c r="D147" t="s">
        <v>145</v>
      </c>
      <c r="E147" t="s">
        <v>146</v>
      </c>
      <c r="F147" t="s">
        <v>147</v>
      </c>
      <c r="G147" t="s">
        <v>148</v>
      </c>
      <c r="I147" t="s">
        <v>149</v>
      </c>
      <c r="K147" t="s">
        <v>144</v>
      </c>
      <c r="L147" t="s">
        <v>145</v>
      </c>
      <c r="M147" t="s">
        <v>146</v>
      </c>
      <c r="N147" t="s">
        <v>147</v>
      </c>
      <c r="O147" t="s">
        <v>148</v>
      </c>
    </row>
    <row r="148" spans="1:16" x14ac:dyDescent="0.25">
      <c r="A148">
        <v>75</v>
      </c>
      <c r="B148">
        <v>90</v>
      </c>
      <c r="C148">
        <v>69871.88</v>
      </c>
      <c r="D148" s="61">
        <f>N117</f>
        <v>14138.925833333333</v>
      </c>
      <c r="J148">
        <v>90</v>
      </c>
      <c r="L148" s="61">
        <f>N117</f>
        <v>14138.925833333333</v>
      </c>
    </row>
    <row r="149" spans="1:16" x14ac:dyDescent="0.25">
      <c r="B149">
        <v>120</v>
      </c>
      <c r="C149">
        <v>72600</v>
      </c>
      <c r="D149" s="61">
        <f>O118</f>
        <v>15863.925833333333</v>
      </c>
      <c r="J149">
        <v>120</v>
      </c>
      <c r="L149" s="61">
        <f>O118</f>
        <v>15863.925833333333</v>
      </c>
    </row>
    <row r="150" spans="1:16" x14ac:dyDescent="0.25">
      <c r="A150" t="s">
        <v>150</v>
      </c>
      <c r="C150" t="s">
        <v>144</v>
      </c>
      <c r="D150" t="s">
        <v>145</v>
      </c>
      <c r="E150" t="s">
        <v>146</v>
      </c>
      <c r="F150" t="s">
        <v>147</v>
      </c>
      <c r="G150" t="s">
        <v>148</v>
      </c>
      <c r="I150" t="s">
        <v>150</v>
      </c>
      <c r="K150" t="s">
        <v>144</v>
      </c>
      <c r="L150" t="s">
        <v>145</v>
      </c>
      <c r="M150" t="s">
        <v>146</v>
      </c>
      <c r="N150" t="s">
        <v>147</v>
      </c>
      <c r="O150" t="s">
        <v>148</v>
      </c>
    </row>
    <row r="151" spans="1:16" x14ac:dyDescent="0.25">
      <c r="A151">
        <v>100</v>
      </c>
      <c r="B151">
        <v>90</v>
      </c>
      <c r="C151">
        <v>93162.5</v>
      </c>
      <c r="D151" s="61">
        <f>N117</f>
        <v>14138.925833333333</v>
      </c>
      <c r="J151">
        <v>90</v>
      </c>
      <c r="L151" s="61">
        <f>N117</f>
        <v>14138.925833333333</v>
      </c>
    </row>
    <row r="152" spans="1:16" x14ac:dyDescent="0.25">
      <c r="B152">
        <v>120</v>
      </c>
      <c r="C152">
        <v>96800</v>
      </c>
      <c r="D152" s="61">
        <f>O118</f>
        <v>15863.925833333333</v>
      </c>
      <c r="J152">
        <v>120</v>
      </c>
      <c r="L152" s="61">
        <f>O118</f>
        <v>15863.925833333333</v>
      </c>
    </row>
    <row r="153" spans="1:16" x14ac:dyDescent="0.25">
      <c r="A153" t="s">
        <v>151</v>
      </c>
      <c r="C153" t="s">
        <v>144</v>
      </c>
      <c r="D153" t="s">
        <v>145</v>
      </c>
      <c r="E153" t="s">
        <v>146</v>
      </c>
      <c r="F153" t="s">
        <v>147</v>
      </c>
      <c r="G153" t="s">
        <v>148</v>
      </c>
      <c r="I153" t="s">
        <v>151</v>
      </c>
      <c r="K153" t="s">
        <v>144</v>
      </c>
      <c r="L153" t="s">
        <v>145</v>
      </c>
      <c r="M153" t="s">
        <v>146</v>
      </c>
      <c r="N153" t="s">
        <v>147</v>
      </c>
      <c r="O153" t="s">
        <v>148</v>
      </c>
    </row>
    <row r="154" spans="1:16" x14ac:dyDescent="0.25">
      <c r="B154">
        <v>90</v>
      </c>
      <c r="D154" s="61">
        <f>N117</f>
        <v>14138.925833333333</v>
      </c>
      <c r="J154">
        <v>90</v>
      </c>
      <c r="L154" s="61">
        <f>N117</f>
        <v>14138.925833333333</v>
      </c>
    </row>
    <row r="155" spans="1:16" x14ac:dyDescent="0.25">
      <c r="B155">
        <v>120</v>
      </c>
      <c r="D155" s="61">
        <f>O118</f>
        <v>15863.925833333333</v>
      </c>
      <c r="J155">
        <v>120</v>
      </c>
      <c r="L155" s="61">
        <f>O118</f>
        <v>15863.925833333333</v>
      </c>
    </row>
    <row r="158" spans="1:16" x14ac:dyDescent="0.25">
      <c r="A158" t="s">
        <v>154</v>
      </c>
    </row>
    <row r="159" spans="1:16" x14ac:dyDescent="0.25">
      <c r="A159" s="2" t="s">
        <v>24</v>
      </c>
      <c r="B159" s="2" t="s">
        <v>47</v>
      </c>
      <c r="C159" s="2" t="s">
        <v>46</v>
      </c>
      <c r="D159" s="2"/>
      <c r="F159" t="s">
        <v>159</v>
      </c>
      <c r="L159" t="s">
        <v>160</v>
      </c>
    </row>
    <row r="160" spans="1:16" x14ac:dyDescent="0.25">
      <c r="A160" s="2">
        <v>50</v>
      </c>
      <c r="B160" s="2">
        <f>P36*(16/34)</f>
        <v>2435.294117647059</v>
      </c>
      <c r="C160" s="2">
        <f>P37*(22/28)</f>
        <v>5421.4285714285716</v>
      </c>
      <c r="D160" s="2"/>
      <c r="F160" s="2"/>
      <c r="G160" s="109" t="s">
        <v>22</v>
      </c>
      <c r="H160" s="109"/>
      <c r="I160" s="109" t="s">
        <v>26</v>
      </c>
      <c r="J160" s="109"/>
      <c r="L160" s="2"/>
      <c r="M160" s="110" t="s">
        <v>161</v>
      </c>
      <c r="N160" s="111"/>
      <c r="O160" s="112"/>
      <c r="P160" s="70"/>
    </row>
    <row r="161" spans="1:16" ht="45" x14ac:dyDescent="0.25">
      <c r="A161" s="2">
        <v>75</v>
      </c>
      <c r="B161" s="2">
        <f>P36*(41/34)</f>
        <v>6240.4411764705883</v>
      </c>
      <c r="C161" s="2">
        <f>P37*(47/28)</f>
        <v>11582.142857142857</v>
      </c>
      <c r="D161" s="2"/>
      <c r="F161" s="66" t="s">
        <v>158</v>
      </c>
      <c r="G161" s="2">
        <v>400</v>
      </c>
      <c r="H161" s="2">
        <v>500</v>
      </c>
      <c r="I161" s="2">
        <v>400</v>
      </c>
      <c r="J161" s="2">
        <v>500</v>
      </c>
      <c r="L161" s="66" t="s">
        <v>162</v>
      </c>
      <c r="M161" s="2">
        <v>50</v>
      </c>
      <c r="N161" s="66">
        <v>75</v>
      </c>
      <c r="O161" s="66">
        <v>100</v>
      </c>
      <c r="P161" s="71"/>
    </row>
    <row r="162" spans="1:16" x14ac:dyDescent="0.25">
      <c r="A162" s="2">
        <v>100</v>
      </c>
      <c r="B162" s="2">
        <f>P36*(66/34)</f>
        <v>10045.588235294117</v>
      </c>
      <c r="C162" s="2">
        <f>P37*(72/28)</f>
        <v>17742.857142857145</v>
      </c>
      <c r="D162" s="2"/>
      <c r="F162" s="2" t="s">
        <v>157</v>
      </c>
      <c r="G162" s="2"/>
      <c r="H162" s="2"/>
      <c r="I162" s="2"/>
      <c r="J162" s="2"/>
      <c r="L162" s="2" t="s">
        <v>164</v>
      </c>
      <c r="M162" s="2" t="s">
        <v>169</v>
      </c>
      <c r="N162" s="2" t="s">
        <v>169</v>
      </c>
      <c r="O162" s="2" t="s">
        <v>169</v>
      </c>
      <c r="P162" s="6"/>
    </row>
    <row r="163" spans="1:16" x14ac:dyDescent="0.25">
      <c r="A163" s="2" t="s">
        <v>155</v>
      </c>
      <c r="B163" s="2"/>
      <c r="C163" s="2"/>
      <c r="D163" s="2"/>
      <c r="F163" s="2">
        <v>10</v>
      </c>
      <c r="G163" s="2">
        <v>32.5</v>
      </c>
      <c r="H163" s="2">
        <v>32.5</v>
      </c>
      <c r="I163" s="2"/>
      <c r="J163" s="2"/>
      <c r="L163" s="2">
        <v>2.5</v>
      </c>
      <c r="M163" s="2" t="s">
        <v>165</v>
      </c>
      <c r="N163" s="2" t="s">
        <v>166</v>
      </c>
      <c r="O163" s="2" t="s">
        <v>168</v>
      </c>
      <c r="P163" s="6"/>
    </row>
    <row r="164" spans="1:16" x14ac:dyDescent="0.25">
      <c r="A164" s="2" t="s">
        <v>156</v>
      </c>
      <c r="B164" s="2"/>
      <c r="C164" s="2"/>
      <c r="D164" s="2"/>
      <c r="F164" s="2">
        <v>100</v>
      </c>
      <c r="G164" s="2"/>
      <c r="H164" s="2"/>
      <c r="I164" s="2">
        <v>325</v>
      </c>
      <c r="J164" s="2">
        <v>325</v>
      </c>
      <c r="L164" s="2">
        <v>2</v>
      </c>
      <c r="M164" s="2" t="s">
        <v>165</v>
      </c>
      <c r="N164" s="2" t="s">
        <v>165</v>
      </c>
      <c r="O164" s="2" t="s">
        <v>167</v>
      </c>
      <c r="P164" s="6"/>
    </row>
    <row r="165" spans="1:16" x14ac:dyDescent="0.25">
      <c r="L165" s="2" t="s">
        <v>163</v>
      </c>
      <c r="M165" s="2"/>
      <c r="N165" s="2"/>
      <c r="O165" s="2"/>
      <c r="P165" s="6"/>
    </row>
    <row r="166" spans="1:16" x14ac:dyDescent="0.25">
      <c r="L166" s="2">
        <v>2.5</v>
      </c>
      <c r="M166" s="2" t="s">
        <v>165</v>
      </c>
      <c r="N166" s="2" t="s">
        <v>167</v>
      </c>
      <c r="O166" s="2" t="s">
        <v>167</v>
      </c>
      <c r="P166" s="6"/>
    </row>
    <row r="167" spans="1:16" x14ac:dyDescent="0.25">
      <c r="A167" t="s">
        <v>170</v>
      </c>
      <c r="F167" t="s">
        <v>178</v>
      </c>
      <c r="L167" s="2">
        <v>2</v>
      </c>
      <c r="M167" s="2" t="s">
        <v>165</v>
      </c>
      <c r="N167" s="2" t="s">
        <v>167</v>
      </c>
      <c r="O167" s="2" t="s">
        <v>167</v>
      </c>
      <c r="P167" s="6"/>
    </row>
    <row r="168" spans="1:16" x14ac:dyDescent="0.25">
      <c r="A168" s="2" t="s">
        <v>173</v>
      </c>
      <c r="B168" s="2" t="s">
        <v>171</v>
      </c>
      <c r="C168" s="2" t="s">
        <v>172</v>
      </c>
      <c r="F168" s="2"/>
      <c r="G168" s="2"/>
      <c r="H168" s="2">
        <v>50</v>
      </c>
      <c r="I168" s="2">
        <v>75</v>
      </c>
      <c r="J168" s="2">
        <v>100</v>
      </c>
    </row>
    <row r="169" spans="1:16" x14ac:dyDescent="0.25">
      <c r="A169" s="2" t="s">
        <v>33</v>
      </c>
      <c r="B169" s="51">
        <f>G99</f>
        <v>145.5</v>
      </c>
      <c r="C169" s="51">
        <f>H99</f>
        <v>157.5</v>
      </c>
      <c r="F169" s="106" t="s">
        <v>22</v>
      </c>
      <c r="G169" s="14" t="s">
        <v>47</v>
      </c>
      <c r="H169" s="2"/>
      <c r="I169" s="2"/>
      <c r="J169" s="2"/>
    </row>
    <row r="170" spans="1:16" x14ac:dyDescent="0.25">
      <c r="A170" s="2" t="s">
        <v>34</v>
      </c>
      <c r="B170" s="51">
        <f>G100</f>
        <v>132</v>
      </c>
      <c r="C170" s="51">
        <f>H100</f>
        <v>138.5</v>
      </c>
      <c r="F170" s="107"/>
      <c r="G170" s="14" t="s">
        <v>175</v>
      </c>
      <c r="H170" s="63">
        <f>(N117+G163+81.25+B160+C172)*(1.0071875)</f>
        <v>48534.320985003054</v>
      </c>
      <c r="I170" s="63">
        <f>(N117+G163+81.25+B161+C173)*(1.0071875)</f>
        <v>68230.02066331188</v>
      </c>
      <c r="J170" s="63">
        <f>(N117+G163+162.5+C162+B174)*(1.0071875)</f>
        <v>90925.647353831839</v>
      </c>
    </row>
    <row r="171" spans="1:16" x14ac:dyDescent="0.25">
      <c r="A171" s="2" t="s">
        <v>174</v>
      </c>
      <c r="B171" s="2" t="s">
        <v>33</v>
      </c>
      <c r="C171" s="2"/>
      <c r="F171" s="107"/>
      <c r="G171" s="14" t="s">
        <v>176</v>
      </c>
      <c r="H171" s="63">
        <f>(N117+G163+81.25+C160+B172)*(1.0071875)</f>
        <v>49124.668280171129</v>
      </c>
      <c r="I171" s="63">
        <f>(N117+G163+81.25+C161+B173)*(1.0071875)</f>
        <v>69984.240824813969</v>
      </c>
      <c r="J171" s="63">
        <f>(N117+G163+162.5+B162+C174)*(1.0071875)</f>
        <v>88007.554325995705</v>
      </c>
    </row>
    <row r="172" spans="1:16" x14ac:dyDescent="0.25">
      <c r="A172" s="2">
        <v>50</v>
      </c>
      <c r="B172" s="2">
        <f>(A172*B169)*4</f>
        <v>29100</v>
      </c>
      <c r="C172" s="2">
        <f>(A172*C169)*4</f>
        <v>31500</v>
      </c>
      <c r="F172" s="107"/>
      <c r="G172" s="14"/>
      <c r="H172" s="2"/>
      <c r="I172" s="2"/>
      <c r="J172" s="2"/>
    </row>
    <row r="173" spans="1:16" x14ac:dyDescent="0.25">
      <c r="A173" s="2">
        <v>75</v>
      </c>
      <c r="B173" s="2">
        <f>(A173*B169)*4</f>
        <v>43650</v>
      </c>
      <c r="C173" s="2">
        <f>(A173*C169)*4</f>
        <v>47250</v>
      </c>
      <c r="F173" s="107"/>
      <c r="G173" s="14" t="s">
        <v>46</v>
      </c>
      <c r="H173" s="2"/>
      <c r="I173" s="2"/>
      <c r="J173" s="2"/>
    </row>
    <row r="174" spans="1:16" x14ac:dyDescent="0.25">
      <c r="A174" s="2">
        <v>100</v>
      </c>
      <c r="B174" s="2">
        <f>(A174*B169)*4</f>
        <v>58200</v>
      </c>
      <c r="C174" s="2">
        <f>A174*(C169*4)</f>
        <v>63000</v>
      </c>
      <c r="F174" s="107"/>
      <c r="G174" s="14" t="s">
        <v>175</v>
      </c>
      <c r="H174" s="63">
        <f>(N118+G163+81.25+C160+C172)*1.009583</f>
        <v>53406.036522272734</v>
      </c>
      <c r="I174" s="63">
        <f>(N118+H163+162.5+C161+C173)*1.009583</f>
        <v>75608.749801737009</v>
      </c>
      <c r="J174" s="63">
        <f>(N118+H163+162.5+C162+C174)*1.009583</f>
        <v>97729.434462451289</v>
      </c>
    </row>
    <row r="175" spans="1:16" x14ac:dyDescent="0.25">
      <c r="A175" s="2"/>
      <c r="B175" s="2" t="s">
        <v>34</v>
      </c>
      <c r="C175" s="2"/>
      <c r="F175" s="107"/>
      <c r="G175" s="14" t="s">
        <v>176</v>
      </c>
      <c r="H175" s="63">
        <f>(N118+G163+81.25+C160+C172)*1.009583</f>
        <v>53406.036522272734</v>
      </c>
      <c r="I175" s="63">
        <f>(N118+H163+162.5+C161+C173)*1.009583</f>
        <v>75608.749801737009</v>
      </c>
      <c r="J175" s="63">
        <f>(N118+H163+162.5+C162+C174)*1.009583</f>
        <v>97729.434462451289</v>
      </c>
    </row>
    <row r="176" spans="1:16" x14ac:dyDescent="0.25">
      <c r="A176" s="2">
        <v>50</v>
      </c>
      <c r="B176" s="2">
        <f>(A176*B170)*5</f>
        <v>33000</v>
      </c>
      <c r="C176" s="2">
        <f>(A176*C170)*5</f>
        <v>34625</v>
      </c>
      <c r="F176" s="108"/>
      <c r="G176" s="14"/>
      <c r="H176" s="2"/>
      <c r="I176" s="2"/>
      <c r="J176" s="2"/>
    </row>
    <row r="177" spans="1:17" x14ac:dyDescent="0.25">
      <c r="A177" s="2">
        <v>75</v>
      </c>
      <c r="B177" s="2">
        <f>(A177*B170)*5</f>
        <v>49500</v>
      </c>
      <c r="C177" s="2">
        <f>(A177*C170)*5</f>
        <v>51937.5</v>
      </c>
      <c r="F177" s="106" t="s">
        <v>26</v>
      </c>
      <c r="G177" s="14" t="s">
        <v>47</v>
      </c>
    </row>
    <row r="178" spans="1:17" x14ac:dyDescent="0.25">
      <c r="A178" s="2">
        <v>100</v>
      </c>
      <c r="B178" s="2">
        <f>(A178*B170)*5</f>
        <v>66000</v>
      </c>
      <c r="C178" s="2">
        <f>(A178*C170)*5</f>
        <v>69250</v>
      </c>
      <c r="F178" s="107"/>
      <c r="G178" s="14" t="s">
        <v>175</v>
      </c>
      <c r="H178" s="63">
        <f>(N117+I164+81.25+B160+C172)*(1.0071875)</f>
        <v>48828.923328753059</v>
      </c>
      <c r="I178" s="63">
        <f>(N117+I164+162.5+B161+C173)*(1.0071875)</f>
        <v>68606.456991436877</v>
      </c>
      <c r="J178" s="63">
        <f>(N117+I164+162.5+B162+C174)*(1.0071875)</f>
        <v>88302.156669745702</v>
      </c>
    </row>
    <row r="179" spans="1:17" x14ac:dyDescent="0.25">
      <c r="F179" s="107"/>
      <c r="G179" s="14" t="s">
        <v>176</v>
      </c>
      <c r="H179" s="63">
        <f>(N117+I164+81.25+B160+C172)*(1.0071875)</f>
        <v>48828.923328753059</v>
      </c>
      <c r="I179" s="63">
        <f>(N117+I164+162.5+B161+C173)*(1.0071875)</f>
        <v>68606.456991436877</v>
      </c>
      <c r="J179" s="63">
        <f>(N117+I164+162.5+B162+C174)*(1.0071875)</f>
        <v>88302.156669745702</v>
      </c>
    </row>
    <row r="180" spans="1:17" x14ac:dyDescent="0.25">
      <c r="F180" s="107"/>
      <c r="G180" s="14"/>
      <c r="H180" s="2"/>
      <c r="I180" s="2"/>
      <c r="J180" s="2"/>
    </row>
    <row r="181" spans="1:17" x14ac:dyDescent="0.25">
      <c r="F181" s="107"/>
      <c r="G181" s="14" t="s">
        <v>46</v>
      </c>
    </row>
    <row r="182" spans="1:17" x14ac:dyDescent="0.25">
      <c r="F182" s="107"/>
      <c r="G182" s="14" t="s">
        <v>175</v>
      </c>
      <c r="H182" s="63">
        <f>(N118+J164+81.25+C160+C172)*1.009583</f>
        <v>53701.339549772732</v>
      </c>
      <c r="I182" s="63">
        <f>(N118+J164+162.5+C161+C173)*1.009583</f>
        <v>75904.052829237015</v>
      </c>
      <c r="J182" s="63">
        <f>(N118+J164+162.5+C162+C174)*1.009583</f>
        <v>98024.737489951294</v>
      </c>
    </row>
    <row r="183" spans="1:17" x14ac:dyDescent="0.25">
      <c r="F183" s="108"/>
      <c r="G183" s="14" t="s">
        <v>176</v>
      </c>
      <c r="H183" s="63">
        <f>(N118+J164+81.25+C160+C172)*1.009583</f>
        <v>53701.339549772732</v>
      </c>
      <c r="I183" s="63">
        <f>(N118+J164+162.5+C161+C173)*1.009583</f>
        <v>75904.052829237015</v>
      </c>
      <c r="J183" s="63">
        <f>(N118+J164+162.5+C162+C174)*1.009583</f>
        <v>98024.737489951294</v>
      </c>
    </row>
    <row r="186" spans="1:17" x14ac:dyDescent="0.25">
      <c r="M186" s="6"/>
      <c r="N186" s="6"/>
      <c r="O186" s="6"/>
      <c r="P186" s="6"/>
      <c r="Q186" s="6"/>
    </row>
    <row r="187" spans="1:17" x14ac:dyDescent="0.25">
      <c r="F187" t="s">
        <v>177</v>
      </c>
      <c r="M187" s="6"/>
      <c r="N187" s="6"/>
      <c r="O187" s="6"/>
      <c r="P187" s="6"/>
      <c r="Q187" s="6"/>
    </row>
    <row r="188" spans="1:17" x14ac:dyDescent="0.25">
      <c r="F188" s="2"/>
      <c r="G188" s="2"/>
      <c r="H188" s="2">
        <v>50</v>
      </c>
      <c r="I188" s="2">
        <v>75</v>
      </c>
      <c r="J188" s="2">
        <v>100</v>
      </c>
      <c r="M188" s="6"/>
      <c r="N188" s="6"/>
      <c r="O188" s="6"/>
      <c r="P188" s="6"/>
      <c r="Q188" s="6"/>
    </row>
    <row r="189" spans="1:17" x14ac:dyDescent="0.25">
      <c r="F189" s="106" t="s">
        <v>22</v>
      </c>
      <c r="G189" s="14" t="s">
        <v>47</v>
      </c>
      <c r="H189" s="2"/>
      <c r="I189" s="2"/>
      <c r="J189" s="2"/>
      <c r="M189" s="6"/>
      <c r="N189" s="6"/>
      <c r="O189" s="6"/>
      <c r="P189" s="6"/>
      <c r="Q189" s="6"/>
    </row>
    <row r="190" spans="1:17" x14ac:dyDescent="0.25">
      <c r="F190" s="107"/>
      <c r="G190" s="14" t="s">
        <v>175</v>
      </c>
      <c r="H190" s="63">
        <f>(N117+81.25+32.5+B160+C176)*(1.0071875)</f>
        <v>51681.781922503054</v>
      </c>
      <c r="I190" s="63">
        <f>(N117+162.5+32.5+B161+C177)*(1.0071875)</f>
        <v>73033.04605393688</v>
      </c>
      <c r="J190" s="63">
        <f>(N117+162.5+32.5+B162+C178)*(1.0071875)</f>
        <v>94302.476200995705</v>
      </c>
      <c r="M190" s="6"/>
      <c r="N190" s="72"/>
      <c r="O190" s="72"/>
      <c r="P190" s="72"/>
      <c r="Q190" s="6"/>
    </row>
    <row r="191" spans="1:17" x14ac:dyDescent="0.25">
      <c r="F191" s="107"/>
      <c r="G191" s="14" t="s">
        <v>176</v>
      </c>
      <c r="H191" s="63">
        <f>(N117+81.25+32.5+B160+C176)*(1.0071875)</f>
        <v>51681.781922503054</v>
      </c>
      <c r="I191" s="63">
        <f>(N117+162.5+32.5+B161+C177)*(1.0071875)</f>
        <v>73033.04605393688</v>
      </c>
      <c r="J191" s="63">
        <f>(N117+162.5+32.5+B162+C178)*(1.0071875)</f>
        <v>94302.476200995705</v>
      </c>
      <c r="M191" s="6"/>
      <c r="N191" s="72"/>
      <c r="O191" s="72"/>
      <c r="P191" s="72"/>
      <c r="Q191" s="6"/>
    </row>
    <row r="192" spans="1:17" x14ac:dyDescent="0.25">
      <c r="F192" s="107"/>
      <c r="G192" s="14"/>
      <c r="H192" s="2"/>
      <c r="I192" s="2"/>
      <c r="J192" s="2"/>
      <c r="M192" s="6"/>
      <c r="N192" s="6"/>
      <c r="O192" s="6"/>
      <c r="P192" s="6"/>
      <c r="Q192" s="6"/>
    </row>
    <row r="193" spans="1:17" x14ac:dyDescent="0.25">
      <c r="F193" s="107"/>
      <c r="G193" s="14"/>
      <c r="H193" s="2"/>
      <c r="I193" s="2"/>
      <c r="J193" s="2"/>
      <c r="M193" s="6"/>
      <c r="N193" s="6"/>
      <c r="O193" s="6"/>
      <c r="P193" s="6"/>
      <c r="Q193" s="6"/>
    </row>
    <row r="194" spans="1:17" x14ac:dyDescent="0.25">
      <c r="F194" s="107"/>
      <c r="G194" s="14"/>
      <c r="H194" s="63"/>
      <c r="I194" s="63"/>
      <c r="J194" s="63"/>
      <c r="M194" s="6"/>
      <c r="N194" s="72"/>
      <c r="O194" s="72"/>
      <c r="P194" s="72"/>
      <c r="Q194" s="6"/>
    </row>
    <row r="195" spans="1:17" x14ac:dyDescent="0.25">
      <c r="F195" s="107"/>
      <c r="G195" s="14"/>
      <c r="H195" s="63"/>
      <c r="I195" s="63"/>
      <c r="J195" s="63"/>
      <c r="M195" s="6"/>
      <c r="N195" s="72"/>
      <c r="O195" s="72"/>
      <c r="P195" s="72"/>
      <c r="Q195" s="6"/>
    </row>
    <row r="196" spans="1:17" x14ac:dyDescent="0.25">
      <c r="F196" s="108"/>
      <c r="G196" s="14"/>
      <c r="H196" s="2"/>
      <c r="I196" s="2"/>
      <c r="J196" s="2"/>
      <c r="M196" s="6"/>
      <c r="N196" s="6"/>
      <c r="O196" s="6"/>
      <c r="P196" s="6"/>
      <c r="Q196" s="6"/>
    </row>
    <row r="197" spans="1:17" x14ac:dyDescent="0.25">
      <c r="F197" s="106" t="s">
        <v>26</v>
      </c>
      <c r="G197" s="14" t="s">
        <v>47</v>
      </c>
    </row>
    <row r="198" spans="1:17" x14ac:dyDescent="0.25">
      <c r="F198" s="107"/>
      <c r="G198" s="14" t="s">
        <v>175</v>
      </c>
      <c r="H198" s="63">
        <f>(B176+N117+I164+81.25+C160)*(1.0071875)</f>
        <v>53347.301873921126</v>
      </c>
      <c r="I198" s="63">
        <f>(N117+I164+162.5+B161+C177)*(1.0071875)</f>
        <v>73327.648397686877</v>
      </c>
      <c r="J198" s="63">
        <f>(N117+I164+162.5+B162+C178)*(1.0071875)</f>
        <v>94597.078544745702</v>
      </c>
    </row>
    <row r="199" spans="1:17" x14ac:dyDescent="0.25">
      <c r="F199" s="107"/>
      <c r="G199" s="14" t="s">
        <v>176</v>
      </c>
      <c r="H199" s="63">
        <f>(N117+I164+81.25+B160+C176)*(1.0071875)</f>
        <v>51976.384266253059</v>
      </c>
      <c r="I199" s="63">
        <f>(N117+I164+162.5+B161+C177)*(1.0071875)</f>
        <v>73327.648397686877</v>
      </c>
      <c r="J199" s="63">
        <f>(N117+I164+162.5+B162+C178)*(1.0071875)</f>
        <v>94597.078544745702</v>
      </c>
    </row>
    <row r="200" spans="1:17" x14ac:dyDescent="0.25">
      <c r="F200" s="107"/>
      <c r="G200" s="14"/>
      <c r="H200" s="2"/>
      <c r="I200" s="2"/>
      <c r="J200" s="2"/>
    </row>
    <row r="201" spans="1:17" x14ac:dyDescent="0.25">
      <c r="F201" s="107"/>
      <c r="G201" s="14"/>
    </row>
    <row r="202" spans="1:17" x14ac:dyDescent="0.25">
      <c r="F202" s="107"/>
      <c r="G202" s="14"/>
      <c r="H202" s="63"/>
      <c r="I202" s="63"/>
      <c r="J202" s="63"/>
    </row>
    <row r="203" spans="1:17" x14ac:dyDescent="0.25">
      <c r="F203" s="108"/>
      <c r="G203" s="14"/>
      <c r="H203" s="63"/>
      <c r="I203" s="63"/>
      <c r="J203" s="63"/>
    </row>
    <row r="206" spans="1:17" x14ac:dyDescent="0.25">
      <c r="H206" t="s">
        <v>200</v>
      </c>
    </row>
    <row r="207" spans="1:17" x14ac:dyDescent="0.25">
      <c r="C207" t="s">
        <v>179</v>
      </c>
      <c r="H207" t="s">
        <v>185</v>
      </c>
    </row>
    <row r="208" spans="1:17" x14ac:dyDescent="0.25">
      <c r="A208" s="102" t="s">
        <v>182</v>
      </c>
      <c r="B208" s="103"/>
      <c r="C208" s="103"/>
      <c r="D208" s="103"/>
      <c r="E208" s="103"/>
      <c r="F208" s="104"/>
      <c r="H208" s="102" t="s">
        <v>182</v>
      </c>
      <c r="I208" s="103"/>
      <c r="J208" s="103"/>
      <c r="K208" s="103"/>
      <c r="L208" s="103"/>
      <c r="M208" s="104"/>
    </row>
    <row r="209" spans="1:13" x14ac:dyDescent="0.25">
      <c r="A209" s="58" t="s">
        <v>135</v>
      </c>
      <c r="B209" s="11" t="s">
        <v>79</v>
      </c>
      <c r="C209" s="105" t="s">
        <v>180</v>
      </c>
      <c r="D209" s="105"/>
      <c r="E209" s="105" t="s">
        <v>181</v>
      </c>
      <c r="F209" s="105"/>
      <c r="H209" s="58" t="s">
        <v>135</v>
      </c>
      <c r="I209" s="11" t="s">
        <v>79</v>
      </c>
      <c r="J209" s="105" t="s">
        <v>180</v>
      </c>
      <c r="K209" s="105"/>
      <c r="L209" s="105" t="s">
        <v>181</v>
      </c>
      <c r="M209" s="105"/>
    </row>
    <row r="210" spans="1:13" x14ac:dyDescent="0.25">
      <c r="A210" s="58">
        <v>50</v>
      </c>
      <c r="B210" s="73">
        <v>2.5</v>
      </c>
      <c r="C210" s="73">
        <v>43281.25</v>
      </c>
      <c r="D210" s="73"/>
      <c r="E210" s="73">
        <v>46581.25</v>
      </c>
      <c r="F210" s="73"/>
      <c r="H210" s="58">
        <v>50</v>
      </c>
      <c r="I210" s="73">
        <v>2.5</v>
      </c>
      <c r="J210" s="73">
        <f>43281.25-46117.07</f>
        <v>-2835.8199999999997</v>
      </c>
      <c r="K210" s="73"/>
      <c r="L210" s="73">
        <f>46581.25-50045.1</f>
        <v>-3463.8499999999985</v>
      </c>
      <c r="M210" s="73"/>
    </row>
    <row r="211" spans="1:13" x14ac:dyDescent="0.25">
      <c r="A211" s="58"/>
      <c r="B211" s="74">
        <v>2</v>
      </c>
      <c r="C211" s="74"/>
      <c r="D211" s="74">
        <v>44080</v>
      </c>
      <c r="E211" s="74"/>
      <c r="F211" s="74">
        <v>47090</v>
      </c>
      <c r="H211" s="58"/>
      <c r="I211" s="74">
        <v>2</v>
      </c>
      <c r="J211" s="74"/>
      <c r="K211" s="74">
        <f>44080-46117.07</f>
        <v>-2037.0699999999997</v>
      </c>
      <c r="L211" s="74"/>
      <c r="M211" s="74">
        <f>47090-50045.1</f>
        <v>-2955.0999999999985</v>
      </c>
    </row>
    <row r="212" spans="1:13" x14ac:dyDescent="0.25">
      <c r="A212" s="58">
        <v>75</v>
      </c>
      <c r="B212" s="73">
        <v>2.5</v>
      </c>
      <c r="C212" s="73">
        <v>64921.88</v>
      </c>
      <c r="D212" s="73"/>
      <c r="E212" s="73">
        <v>69871.88</v>
      </c>
      <c r="F212" s="73"/>
      <c r="H212" s="58">
        <v>75</v>
      </c>
      <c r="I212" s="73">
        <v>2.5</v>
      </c>
      <c r="J212" s="73">
        <f>64921.88-64604.015</f>
        <v>317.86499999999796</v>
      </c>
      <c r="K212" s="73"/>
      <c r="L212" s="73">
        <f>69871.88-70578.03</f>
        <v>-706.14999999999418</v>
      </c>
      <c r="M212" s="73"/>
    </row>
    <row r="213" spans="1:13" x14ac:dyDescent="0.25">
      <c r="A213" s="58"/>
      <c r="B213" s="74">
        <v>2</v>
      </c>
      <c r="C213" s="74"/>
      <c r="D213" s="74">
        <v>66120</v>
      </c>
      <c r="E213" s="74"/>
      <c r="F213" s="74">
        <v>70635</v>
      </c>
      <c r="H213" s="58"/>
      <c r="I213" s="74">
        <v>2</v>
      </c>
      <c r="J213" s="74"/>
      <c r="K213" s="74">
        <f>66120-64604.15</f>
        <v>1515.8499999999985</v>
      </c>
      <c r="L213" s="74"/>
      <c r="M213" s="74">
        <f>70635-70578.03</f>
        <v>56.970000000001164</v>
      </c>
    </row>
    <row r="214" spans="1:13" x14ac:dyDescent="0.25">
      <c r="A214" s="58">
        <v>100</v>
      </c>
      <c r="B214" s="73">
        <v>2.5</v>
      </c>
      <c r="C214" s="73">
        <v>86562.5</v>
      </c>
      <c r="D214" s="73"/>
      <c r="E214" s="73">
        <v>93162.5</v>
      </c>
      <c r="F214" s="73"/>
      <c r="H214" s="58">
        <v>100</v>
      </c>
      <c r="I214" s="73">
        <v>2.5</v>
      </c>
      <c r="J214" s="73">
        <f>86562.5-83173.05</f>
        <v>3389.4499999999971</v>
      </c>
      <c r="K214" s="73"/>
      <c r="L214" s="73">
        <f>93162.5-91029.12</f>
        <v>2133.3800000000047</v>
      </c>
      <c r="M214" s="73"/>
    </row>
    <row r="215" spans="1:13" x14ac:dyDescent="0.25">
      <c r="A215" s="58"/>
      <c r="B215" s="74">
        <v>2</v>
      </c>
      <c r="C215" s="74"/>
      <c r="D215" s="74">
        <v>88160</v>
      </c>
      <c r="E215" s="74"/>
      <c r="F215" s="74">
        <v>94180</v>
      </c>
      <c r="H215" s="58"/>
      <c r="I215" s="74">
        <v>2</v>
      </c>
      <c r="J215" s="74"/>
      <c r="K215" s="74">
        <f>88160-83173.05</f>
        <v>4986.9499999999971</v>
      </c>
      <c r="L215" s="74"/>
      <c r="M215" s="74">
        <f>94180-91029.12</f>
        <v>3150.8800000000047</v>
      </c>
    </row>
    <row r="216" spans="1:13" x14ac:dyDescent="0.25">
      <c r="A216" s="58"/>
      <c r="B216" s="2"/>
      <c r="C216" s="2"/>
      <c r="D216" s="2"/>
      <c r="E216" s="2"/>
      <c r="F216" s="2"/>
      <c r="H216" s="58"/>
      <c r="I216" s="2"/>
      <c r="J216" s="2"/>
      <c r="K216" s="2"/>
      <c r="L216" s="2"/>
      <c r="M216" s="2"/>
    </row>
    <row r="217" spans="1:13" x14ac:dyDescent="0.25">
      <c r="A217" s="102" t="s">
        <v>183</v>
      </c>
      <c r="B217" s="103"/>
      <c r="C217" s="103"/>
      <c r="D217" s="103"/>
      <c r="E217" s="103"/>
      <c r="F217" s="104"/>
      <c r="H217" s="102" t="s">
        <v>183</v>
      </c>
      <c r="I217" s="103"/>
      <c r="J217" s="103"/>
      <c r="K217" s="103"/>
      <c r="L217" s="103"/>
      <c r="M217" s="104"/>
    </row>
    <row r="218" spans="1:13" x14ac:dyDescent="0.25">
      <c r="A218" s="58">
        <v>50</v>
      </c>
      <c r="B218" s="73">
        <v>2.5</v>
      </c>
      <c r="C218" s="73">
        <v>47545</v>
      </c>
      <c r="D218" s="73"/>
      <c r="E218" s="73">
        <v>48400</v>
      </c>
      <c r="F218" s="73"/>
      <c r="H218" s="58">
        <v>50</v>
      </c>
      <c r="I218" s="73">
        <v>2.5</v>
      </c>
      <c r="J218" s="73">
        <f>47545-50983.04</f>
        <v>-3438.0400000000009</v>
      </c>
      <c r="K218" s="73"/>
      <c r="L218" s="73">
        <f>48400-46411.67</f>
        <v>1988.3300000000017</v>
      </c>
      <c r="M218" s="73"/>
    </row>
    <row r="219" spans="1:13" x14ac:dyDescent="0.25">
      <c r="A219" s="58"/>
      <c r="B219" s="74">
        <v>2</v>
      </c>
      <c r="C219" s="74"/>
      <c r="D219" s="74">
        <v>44480</v>
      </c>
      <c r="E219" s="74"/>
      <c r="F219" s="74">
        <v>47545</v>
      </c>
      <c r="H219" s="58"/>
      <c r="I219" s="74">
        <v>2</v>
      </c>
      <c r="J219" s="74"/>
      <c r="K219" s="74">
        <f>44480-50983.04</f>
        <v>-6503.0400000000009</v>
      </c>
      <c r="L219" s="74"/>
      <c r="M219" s="74">
        <f>47545-46411.67</f>
        <v>1133.3300000000017</v>
      </c>
    </row>
    <row r="220" spans="1:13" x14ac:dyDescent="0.25">
      <c r="A220" s="58">
        <v>75</v>
      </c>
      <c r="B220" s="73">
        <v>2.5</v>
      </c>
      <c r="C220" s="73">
        <v>71317.5</v>
      </c>
      <c r="D220" s="73"/>
      <c r="E220" s="73">
        <v>72600</v>
      </c>
      <c r="F220" s="73"/>
      <c r="H220" s="58">
        <v>75</v>
      </c>
      <c r="I220" s="73">
        <v>2.5</v>
      </c>
      <c r="J220" s="73">
        <f>71317.5-71974.25</f>
        <v>-656.75</v>
      </c>
      <c r="K220" s="73"/>
      <c r="L220" s="73">
        <f>72600-71974.25</f>
        <v>625.75</v>
      </c>
      <c r="M220" s="73"/>
    </row>
    <row r="221" spans="1:13" x14ac:dyDescent="0.25">
      <c r="A221" s="58"/>
      <c r="B221" s="74">
        <v>2</v>
      </c>
      <c r="C221" s="74"/>
      <c r="D221" s="74">
        <v>66720</v>
      </c>
      <c r="E221" s="74"/>
      <c r="F221" s="74">
        <v>71317</v>
      </c>
      <c r="H221" s="58"/>
      <c r="I221" s="74">
        <v>2</v>
      </c>
      <c r="J221" s="74"/>
      <c r="K221" s="74">
        <f>66720-71974.25</f>
        <v>-5254.25</v>
      </c>
      <c r="L221" s="74"/>
      <c r="M221" s="74">
        <f>71317-71974.25</f>
        <v>-657.25</v>
      </c>
    </row>
    <row r="222" spans="1:13" x14ac:dyDescent="0.25">
      <c r="A222" s="58">
        <v>100</v>
      </c>
      <c r="B222" s="73">
        <v>2.5</v>
      </c>
      <c r="C222" s="73">
        <v>95090</v>
      </c>
      <c r="D222" s="73"/>
      <c r="E222" s="73">
        <v>96800</v>
      </c>
      <c r="F222" s="73"/>
      <c r="H222" s="58">
        <v>100</v>
      </c>
      <c r="I222" s="73">
        <v>2.5</v>
      </c>
      <c r="J222" s="73">
        <f>95090-92883.44</f>
        <v>2206.5599999999977</v>
      </c>
      <c r="K222" s="73"/>
      <c r="L222" s="73">
        <f>96800-92883.44</f>
        <v>3916.5599999999977</v>
      </c>
      <c r="M222" s="73"/>
    </row>
    <row r="223" spans="1:13" x14ac:dyDescent="0.25">
      <c r="A223" s="58"/>
      <c r="B223" s="74">
        <v>2</v>
      </c>
      <c r="C223" s="74"/>
      <c r="D223" s="74">
        <v>88960</v>
      </c>
      <c r="E223" s="74"/>
      <c r="F223" s="74">
        <v>95090</v>
      </c>
      <c r="H223" s="58"/>
      <c r="I223" s="74">
        <v>2</v>
      </c>
      <c r="J223" s="74"/>
      <c r="K223" s="74">
        <f>88960-92883.44</f>
        <v>-3923.4400000000023</v>
      </c>
      <c r="L223" s="74"/>
      <c r="M223" s="74">
        <f>95090-93178.12</f>
        <v>1911.8800000000047</v>
      </c>
    </row>
    <row r="224" spans="1:13" x14ac:dyDescent="0.25">
      <c r="A224" s="11"/>
      <c r="B224" s="2"/>
      <c r="C224" s="2"/>
      <c r="D224" s="2"/>
      <c r="E224" s="2"/>
      <c r="F224" s="2"/>
      <c r="H224" s="11"/>
      <c r="I224" s="2"/>
      <c r="J224" s="2"/>
      <c r="K224" s="2"/>
      <c r="L224" s="2"/>
      <c r="M224" s="2"/>
    </row>
    <row r="225" spans="1:13" x14ac:dyDescent="0.25">
      <c r="A225" s="102" t="s">
        <v>184</v>
      </c>
      <c r="B225" s="103"/>
      <c r="C225" s="103"/>
      <c r="D225" s="103"/>
      <c r="E225" s="103"/>
      <c r="F225" s="104"/>
      <c r="H225" s="102" t="s">
        <v>184</v>
      </c>
      <c r="I225" s="103"/>
      <c r="J225" s="103"/>
      <c r="K225" s="103"/>
      <c r="L225" s="103"/>
      <c r="M225" s="104"/>
    </row>
    <row r="226" spans="1:13" x14ac:dyDescent="0.25">
      <c r="A226" s="58">
        <v>50</v>
      </c>
      <c r="B226" s="73">
        <v>2.5</v>
      </c>
      <c r="C226" s="73">
        <v>43437.5</v>
      </c>
      <c r="D226" s="73"/>
      <c r="E226" s="73">
        <v>46581.25</v>
      </c>
      <c r="F226" s="73"/>
      <c r="H226" s="58">
        <v>50</v>
      </c>
      <c r="I226" s="73">
        <v>2.5</v>
      </c>
      <c r="J226" s="73">
        <f>43437.5-48534.32</f>
        <v>-5096.82</v>
      </c>
      <c r="K226" s="73"/>
      <c r="L226" s="73">
        <f>46581.25-51681.78</f>
        <v>-5100.5299999999988</v>
      </c>
      <c r="M226" s="73"/>
    </row>
    <row r="227" spans="1:13" x14ac:dyDescent="0.25">
      <c r="A227" s="58"/>
      <c r="B227" s="74">
        <v>2</v>
      </c>
      <c r="C227" s="74"/>
      <c r="D227" s="74">
        <v>45385</v>
      </c>
      <c r="E227" s="74"/>
      <c r="F227" s="74">
        <v>47260</v>
      </c>
      <c r="H227" s="58"/>
      <c r="I227" s="74">
        <v>2</v>
      </c>
      <c r="J227" s="74"/>
      <c r="K227" s="74">
        <f>45385-49124.67</f>
        <v>-3739.6699999999983</v>
      </c>
      <c r="L227" s="74"/>
      <c r="M227" s="74">
        <f>47260-51681.78</f>
        <v>-4421.7799999999988</v>
      </c>
    </row>
    <row r="228" spans="1:13" x14ac:dyDescent="0.25">
      <c r="A228" s="58">
        <v>75</v>
      </c>
      <c r="B228" s="73">
        <v>2.5</v>
      </c>
      <c r="C228" s="73">
        <v>65156.25</v>
      </c>
      <c r="D228" s="73"/>
      <c r="E228" s="73">
        <v>69871.88</v>
      </c>
      <c r="F228" s="73"/>
      <c r="H228" s="58">
        <v>75</v>
      </c>
      <c r="I228" s="73">
        <v>2.5</v>
      </c>
      <c r="J228" s="73">
        <f>65156.25-68230.02</f>
        <v>-3073.7700000000041</v>
      </c>
      <c r="K228" s="73"/>
      <c r="L228" s="73">
        <f>69871.88-73033.05</f>
        <v>-3161.1699999999983</v>
      </c>
      <c r="M228" s="73"/>
    </row>
    <row r="229" spans="1:13" x14ac:dyDescent="0.25">
      <c r="A229" s="58"/>
      <c r="B229" s="74">
        <v>2</v>
      </c>
      <c r="C229" s="74"/>
      <c r="D229" s="74">
        <v>68077.5</v>
      </c>
      <c r="E229" s="74"/>
      <c r="F229" s="74">
        <v>70890</v>
      </c>
      <c r="H229" s="58"/>
      <c r="I229" s="74">
        <v>2</v>
      </c>
      <c r="J229" s="74"/>
      <c r="K229" s="74">
        <f>68077.5-69984.24</f>
        <v>-1906.7400000000052</v>
      </c>
      <c r="L229" s="74"/>
      <c r="M229" s="74">
        <f>70890-73033.05</f>
        <v>-2143.0500000000029</v>
      </c>
    </row>
    <row r="230" spans="1:13" x14ac:dyDescent="0.25">
      <c r="A230" s="58">
        <v>100</v>
      </c>
      <c r="B230" s="73">
        <v>2.5</v>
      </c>
      <c r="C230" s="73">
        <v>86875</v>
      </c>
      <c r="D230" s="73"/>
      <c r="E230" s="73">
        <v>93162.5</v>
      </c>
      <c r="F230" s="73"/>
      <c r="H230" s="58">
        <v>100</v>
      </c>
      <c r="I230" s="73">
        <v>2.5</v>
      </c>
      <c r="J230" s="73">
        <f>86875-90925.65</f>
        <v>-4050.6499999999942</v>
      </c>
      <c r="K230" s="73"/>
      <c r="L230" s="73">
        <f>93162.5-94302.48</f>
        <v>-1139.9799999999959</v>
      </c>
      <c r="M230" s="73"/>
    </row>
    <row r="231" spans="1:13" x14ac:dyDescent="0.25">
      <c r="A231" s="11"/>
      <c r="B231" s="74">
        <v>2</v>
      </c>
      <c r="C231" s="74"/>
      <c r="D231" s="74">
        <v>90770</v>
      </c>
      <c r="E231" s="74"/>
      <c r="F231" s="74">
        <v>94520</v>
      </c>
      <c r="H231" s="11"/>
      <c r="I231" s="74">
        <v>2</v>
      </c>
      <c r="J231" s="74"/>
      <c r="K231" s="74">
        <f>90770-88007.55</f>
        <v>2762.4499999999971</v>
      </c>
      <c r="L231" s="74"/>
      <c r="M231" s="74">
        <f>94520-94302.48</f>
        <v>217.52000000000407</v>
      </c>
    </row>
    <row r="234" spans="1:13" x14ac:dyDescent="0.25">
      <c r="H234" t="s">
        <v>186</v>
      </c>
    </row>
    <row r="235" spans="1:13" x14ac:dyDescent="0.25">
      <c r="H235" s="102" t="s">
        <v>182</v>
      </c>
      <c r="I235" s="103"/>
      <c r="J235" s="103"/>
      <c r="K235" s="103"/>
      <c r="L235" s="103"/>
      <c r="M235" s="104"/>
    </row>
    <row r="236" spans="1:13" x14ac:dyDescent="0.25">
      <c r="H236" s="69" t="s">
        <v>135</v>
      </c>
      <c r="I236" s="11" t="s">
        <v>79</v>
      </c>
      <c r="J236" s="105" t="s">
        <v>180</v>
      </c>
      <c r="K236" s="105"/>
      <c r="L236" s="105" t="s">
        <v>181</v>
      </c>
      <c r="M236" s="105"/>
    </row>
    <row r="237" spans="1:13" x14ac:dyDescent="0.25">
      <c r="H237" s="69">
        <v>50</v>
      </c>
      <c r="I237" s="73">
        <v>2.5</v>
      </c>
      <c r="J237" s="73">
        <f>43281.25-46117.07</f>
        <v>-2835.8199999999997</v>
      </c>
      <c r="K237" s="73"/>
      <c r="L237" s="73">
        <f>46581.25-50339.7</f>
        <v>-3758.4499999999971</v>
      </c>
      <c r="M237" s="73"/>
    </row>
    <row r="238" spans="1:13" x14ac:dyDescent="0.25">
      <c r="H238" s="69"/>
      <c r="I238" s="74">
        <v>2</v>
      </c>
      <c r="J238" s="74"/>
      <c r="K238" s="74">
        <f>44080-46417.607</f>
        <v>-2337.6070000000036</v>
      </c>
      <c r="L238" s="74"/>
      <c r="M238" s="74">
        <f>47090-50339.7</f>
        <v>-3249.6999999999971</v>
      </c>
    </row>
    <row r="239" spans="1:13" x14ac:dyDescent="0.25">
      <c r="H239" s="69">
        <v>75</v>
      </c>
      <c r="I239" s="73">
        <v>2.5</v>
      </c>
      <c r="J239" s="73">
        <f>64921.88-64980.58</f>
        <v>-58.700000000004366</v>
      </c>
      <c r="K239" s="73"/>
      <c r="L239" s="73">
        <f>69871.88-70872.63</f>
        <v>-1000.75</v>
      </c>
      <c r="M239" s="73"/>
    </row>
    <row r="240" spans="1:13" x14ac:dyDescent="0.25">
      <c r="H240" s="69"/>
      <c r="I240" s="74">
        <v>2</v>
      </c>
      <c r="J240" s="74"/>
      <c r="K240" s="74">
        <f>66120-64980.58</f>
        <v>1139.4199999999983</v>
      </c>
      <c r="L240" s="74"/>
      <c r="M240" s="74">
        <f>70635-70872.63</f>
        <v>-237.63000000000466</v>
      </c>
    </row>
    <row r="241" spans="8:13" x14ac:dyDescent="0.25">
      <c r="H241" s="69">
        <v>100</v>
      </c>
      <c r="I241" s="73">
        <v>2.5</v>
      </c>
      <c r="J241" s="73">
        <f>86562.5-83467.66</f>
        <v>3094.8399999999965</v>
      </c>
      <c r="K241" s="73"/>
      <c r="L241" s="73">
        <f>93162.5-91323.72</f>
        <v>1838.7799999999988</v>
      </c>
      <c r="M241" s="73"/>
    </row>
    <row r="242" spans="8:13" x14ac:dyDescent="0.25">
      <c r="H242" s="69"/>
      <c r="I242" s="74">
        <v>2</v>
      </c>
      <c r="J242" s="74"/>
      <c r="K242" s="74">
        <f>88160-83173.05</f>
        <v>4986.9499999999971</v>
      </c>
      <c r="L242" s="74"/>
      <c r="M242" s="74">
        <f>94180-91323.17</f>
        <v>2856.8300000000017</v>
      </c>
    </row>
    <row r="243" spans="8:13" x14ac:dyDescent="0.25">
      <c r="H243" s="69"/>
      <c r="I243" s="2"/>
      <c r="J243" s="2"/>
      <c r="K243" s="2"/>
      <c r="L243" s="2"/>
      <c r="M243" s="2"/>
    </row>
    <row r="244" spans="8:13" x14ac:dyDescent="0.25">
      <c r="H244" s="102" t="s">
        <v>183</v>
      </c>
      <c r="I244" s="103"/>
      <c r="J244" s="103"/>
      <c r="K244" s="103"/>
      <c r="L244" s="103"/>
      <c r="M244" s="104"/>
    </row>
    <row r="245" spans="8:13" x14ac:dyDescent="0.25">
      <c r="H245" s="69">
        <v>50</v>
      </c>
      <c r="I245" s="73">
        <v>2.5</v>
      </c>
      <c r="J245" s="73">
        <f>47545-51278.34</f>
        <v>-3733.3399999999965</v>
      </c>
      <c r="K245" s="73"/>
      <c r="L245" s="73">
        <f>48400-55215.71</f>
        <v>-6815.7099999999991</v>
      </c>
      <c r="M245" s="73"/>
    </row>
    <row r="246" spans="8:13" x14ac:dyDescent="0.25">
      <c r="H246" s="69"/>
      <c r="I246" s="74">
        <v>2</v>
      </c>
      <c r="J246" s="74"/>
      <c r="K246" s="74">
        <f>44480-51278.34</f>
        <v>-6798.3399999999965</v>
      </c>
      <c r="L246" s="74"/>
      <c r="M246" s="74">
        <f>47545-55215.71</f>
        <v>-7670.7099999999991</v>
      </c>
    </row>
    <row r="247" spans="8:13" x14ac:dyDescent="0.25">
      <c r="H247" s="69">
        <v>75</v>
      </c>
      <c r="I247" s="73">
        <v>2.5</v>
      </c>
      <c r="J247" s="73">
        <f>71317.5-72269.55</f>
        <v>-952.05000000000291</v>
      </c>
      <c r="K247" s="73"/>
      <c r="L247" s="73">
        <f>72600-78175.61</f>
        <v>-5575.6100000000006</v>
      </c>
      <c r="M247" s="73"/>
    </row>
    <row r="248" spans="8:13" x14ac:dyDescent="0.25">
      <c r="H248" s="69"/>
      <c r="I248" s="74">
        <v>2</v>
      </c>
      <c r="J248" s="74"/>
      <c r="K248" s="74">
        <f>66720-72269.55</f>
        <v>-5549.5500000000029</v>
      </c>
      <c r="L248" s="74"/>
      <c r="M248" s="74">
        <f>71317-78175.61</f>
        <v>-6858.6100000000006</v>
      </c>
    </row>
    <row r="249" spans="8:13" x14ac:dyDescent="0.25">
      <c r="H249" s="69">
        <v>100</v>
      </c>
      <c r="I249" s="73">
        <v>2.5</v>
      </c>
      <c r="J249" s="73">
        <f>95090-93178.74</f>
        <v>1911.2599999999948</v>
      </c>
      <c r="K249" s="73"/>
      <c r="L249" s="73">
        <f>96800-101053.49</f>
        <v>-4253.4900000000052</v>
      </c>
      <c r="M249" s="73"/>
    </row>
    <row r="250" spans="8:13" x14ac:dyDescent="0.25">
      <c r="H250" s="69"/>
      <c r="I250" s="74">
        <v>2</v>
      </c>
      <c r="J250" s="74"/>
      <c r="K250" s="74">
        <f>88960-93178.74</f>
        <v>-4218.7400000000052</v>
      </c>
      <c r="L250" s="74"/>
      <c r="M250" s="74">
        <f>95090-101053.49</f>
        <v>-5963.4900000000052</v>
      </c>
    </row>
    <row r="251" spans="8:13" x14ac:dyDescent="0.25">
      <c r="H251" s="11"/>
      <c r="I251" s="2"/>
      <c r="J251" s="2"/>
      <c r="K251" s="2"/>
      <c r="L251" s="2"/>
      <c r="M251" s="2"/>
    </row>
    <row r="252" spans="8:13" x14ac:dyDescent="0.25">
      <c r="H252" s="102" t="s">
        <v>184</v>
      </c>
      <c r="I252" s="103"/>
      <c r="J252" s="103"/>
      <c r="K252" s="103"/>
      <c r="L252" s="103"/>
      <c r="M252" s="104"/>
    </row>
    <row r="253" spans="8:13" x14ac:dyDescent="0.25">
      <c r="H253" s="69">
        <v>50</v>
      </c>
      <c r="I253" s="73">
        <v>2.5</v>
      </c>
      <c r="J253" s="73">
        <f>43437.5-48828.92</f>
        <v>-5391.4199999999983</v>
      </c>
      <c r="K253" s="73"/>
      <c r="L253" s="73">
        <f>46581.25-53347.3</f>
        <v>-6766.0500000000029</v>
      </c>
      <c r="M253" s="73"/>
    </row>
    <row r="254" spans="8:13" x14ac:dyDescent="0.25">
      <c r="H254" s="69"/>
      <c r="I254" s="74">
        <v>2</v>
      </c>
      <c r="J254" s="74"/>
      <c r="K254" s="74">
        <f>45385-48828.92</f>
        <v>-3443.9199999999983</v>
      </c>
      <c r="L254" s="74"/>
      <c r="M254" s="74">
        <f>47260-53347.3</f>
        <v>-6087.3000000000029</v>
      </c>
    </row>
    <row r="255" spans="8:13" x14ac:dyDescent="0.25">
      <c r="H255" s="69">
        <v>75</v>
      </c>
      <c r="I255" s="73">
        <v>2.5</v>
      </c>
      <c r="J255" s="73">
        <f>65156.25-68606.46</f>
        <v>-3450.2100000000064</v>
      </c>
      <c r="K255" s="73"/>
      <c r="L255" s="73">
        <f>69871.88-73327.65</f>
        <v>-3455.7699999999895</v>
      </c>
      <c r="M255" s="73"/>
    </row>
    <row r="256" spans="8:13" x14ac:dyDescent="0.25">
      <c r="H256" s="69"/>
      <c r="I256" s="74">
        <v>2</v>
      </c>
      <c r="J256" s="74"/>
      <c r="K256" s="74">
        <f>68077.5-68606.46</f>
        <v>-528.9600000000064</v>
      </c>
      <c r="L256" s="74"/>
      <c r="M256" s="74">
        <f>70890-73327.65</f>
        <v>-2437.6499999999942</v>
      </c>
    </row>
    <row r="257" spans="8:13" x14ac:dyDescent="0.25">
      <c r="H257" s="69">
        <v>100</v>
      </c>
      <c r="I257" s="73">
        <v>2.5</v>
      </c>
      <c r="J257" s="73">
        <f>86875-88302.16</f>
        <v>-1427.1600000000035</v>
      </c>
      <c r="K257" s="73"/>
      <c r="L257" s="73">
        <f>93162.5-94597.08</f>
        <v>-1434.5800000000017</v>
      </c>
      <c r="M257" s="73"/>
    </row>
    <row r="258" spans="8:13" x14ac:dyDescent="0.25">
      <c r="H258" s="11"/>
      <c r="I258" s="74">
        <v>2</v>
      </c>
      <c r="J258" s="74"/>
      <c r="K258" s="74">
        <f>90770-88302.16</f>
        <v>2467.8399999999965</v>
      </c>
      <c r="L258" s="74"/>
      <c r="M258" s="74">
        <f>94520-94597.08</f>
        <v>-77.080000000001746</v>
      </c>
    </row>
  </sheetData>
  <mergeCells count="29">
    <mergeCell ref="H235:M235"/>
    <mergeCell ref="J236:K236"/>
    <mergeCell ref="L236:M236"/>
    <mergeCell ref="H244:M244"/>
    <mergeCell ref="H252:M252"/>
    <mergeCell ref="I160:J160"/>
    <mergeCell ref="C108:E108"/>
    <mergeCell ref="F108:I108"/>
    <mergeCell ref="N90:Q90"/>
    <mergeCell ref="E123:F123"/>
    <mergeCell ref="G123:H123"/>
    <mergeCell ref="K123:L123"/>
    <mergeCell ref="M123:N123"/>
    <mergeCell ref="M160:O160"/>
    <mergeCell ref="F169:F176"/>
    <mergeCell ref="F177:F183"/>
    <mergeCell ref="F189:F196"/>
    <mergeCell ref="F197:F203"/>
    <mergeCell ref="G160:H160"/>
    <mergeCell ref="C209:D209"/>
    <mergeCell ref="E209:F209"/>
    <mergeCell ref="A208:F208"/>
    <mergeCell ref="A217:F217"/>
    <mergeCell ref="A225:F225"/>
    <mergeCell ref="H225:M225"/>
    <mergeCell ref="H208:M208"/>
    <mergeCell ref="J209:K209"/>
    <mergeCell ref="L209:M209"/>
    <mergeCell ref="H217:M217"/>
  </mergeCells>
  <pageMargins left="0.7" right="0.7" top="0.75" bottom="0.75" header="0.3" footer="0.3"/>
  <pageSetup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opLeftCell="A25" workbookViewId="0">
      <selection activeCell="A33" sqref="A33"/>
    </sheetView>
  </sheetViews>
  <sheetFormatPr defaultRowHeight="15" x14ac:dyDescent="0.25"/>
  <cols>
    <col min="1" max="1" width="12.5703125" customWidth="1"/>
  </cols>
  <sheetData>
    <row r="1" spans="1:6" x14ac:dyDescent="0.25">
      <c r="A1" s="10" t="s">
        <v>113</v>
      </c>
    </row>
    <row r="2" spans="1:6" x14ac:dyDescent="0.25">
      <c r="A2" s="10"/>
      <c r="B2" s="11" t="s">
        <v>35</v>
      </c>
      <c r="C2" s="11" t="s">
        <v>36</v>
      </c>
      <c r="D2" s="11" t="s">
        <v>37</v>
      </c>
      <c r="E2" s="11" t="s">
        <v>38</v>
      </c>
      <c r="F2" s="11" t="s">
        <v>39</v>
      </c>
    </row>
    <row r="3" spans="1:6" x14ac:dyDescent="0.25">
      <c r="A3" s="10" t="s">
        <v>103</v>
      </c>
      <c r="B3" s="22">
        <v>43.6</v>
      </c>
      <c r="C3" s="22">
        <v>44.49</v>
      </c>
      <c r="D3" s="22">
        <v>46.19</v>
      </c>
      <c r="E3" s="22">
        <v>48.59</v>
      </c>
      <c r="F3" s="22">
        <v>49.83</v>
      </c>
    </row>
    <row r="4" spans="1:6" x14ac:dyDescent="0.25">
      <c r="A4" s="10"/>
      <c r="B4" s="2"/>
      <c r="C4" s="2"/>
      <c r="D4" s="2"/>
      <c r="E4" s="2"/>
      <c r="F4" s="2"/>
    </row>
    <row r="5" spans="1:6" x14ac:dyDescent="0.25">
      <c r="A5" s="10" t="s">
        <v>31</v>
      </c>
      <c r="B5" s="2"/>
      <c r="C5" s="2"/>
      <c r="D5" s="2"/>
      <c r="E5" s="2"/>
      <c r="F5" s="2"/>
    </row>
    <row r="6" spans="1:6" x14ac:dyDescent="0.25">
      <c r="A6" s="10" t="s">
        <v>48</v>
      </c>
      <c r="B6" s="2">
        <v>106.07</v>
      </c>
      <c r="C6" s="2">
        <v>109.2</v>
      </c>
      <c r="D6" s="2">
        <v>110.38</v>
      </c>
      <c r="E6" s="2">
        <v>114.19</v>
      </c>
      <c r="F6" s="2">
        <v>115.8</v>
      </c>
    </row>
    <row r="7" spans="1:6" x14ac:dyDescent="0.25">
      <c r="A7" s="10" t="s">
        <v>104</v>
      </c>
      <c r="B7" s="24">
        <v>95.38</v>
      </c>
      <c r="C7" s="24">
        <v>97.48</v>
      </c>
      <c r="D7" s="24">
        <v>99.32</v>
      </c>
      <c r="E7" s="24">
        <v>103.6</v>
      </c>
      <c r="F7" s="24">
        <v>105.79</v>
      </c>
    </row>
    <row r="8" spans="1:6" x14ac:dyDescent="0.25">
      <c r="A8" s="10" t="s">
        <v>105</v>
      </c>
      <c r="B8" s="24">
        <f>AVERAGE('[1]Steer Calves'!$M$5:$M$25)</f>
        <v>104.07809523809526</v>
      </c>
      <c r="C8" s="24">
        <f>AVERAGE('[1]Steer Calves'!$N$5:$N$25)</f>
        <v>104.85619047619048</v>
      </c>
      <c r="D8" s="24">
        <f>AVERAGE('[1]Steer Calves'!$C$5:$C$26)</f>
        <v>106.1627272727273</v>
      </c>
      <c r="E8" s="24">
        <f>AVERAGE('[1]Steer Calves'!$D$5:$D$26)</f>
        <v>109.88045454545454</v>
      </c>
      <c r="F8" s="24">
        <f>AVERAGE('[1]Steer Calves'!$E$5:$E$26)</f>
        <v>113.00499999999997</v>
      </c>
    </row>
    <row r="9" spans="1:6" x14ac:dyDescent="0.25">
      <c r="A9" s="10" t="s">
        <v>49</v>
      </c>
      <c r="B9" s="23">
        <v>120</v>
      </c>
      <c r="C9" s="23">
        <v>161</v>
      </c>
      <c r="D9" s="23"/>
      <c r="E9" s="23"/>
      <c r="F9" s="23">
        <v>139</v>
      </c>
    </row>
    <row r="10" spans="1:6" x14ac:dyDescent="0.25">
      <c r="A10" s="10" t="s">
        <v>106</v>
      </c>
      <c r="B10" s="24">
        <v>96.15</v>
      </c>
      <c r="C10" s="24">
        <v>96.22</v>
      </c>
      <c r="D10" s="24">
        <v>94.02</v>
      </c>
      <c r="E10" s="24">
        <v>93.61</v>
      </c>
      <c r="F10" s="24">
        <v>93.7</v>
      </c>
    </row>
    <row r="11" spans="1:6" x14ac:dyDescent="0.25">
      <c r="A11" s="10"/>
      <c r="B11" s="2"/>
      <c r="C11" s="2"/>
      <c r="D11" s="2"/>
      <c r="E11" s="2"/>
      <c r="F11" s="2"/>
    </row>
    <row r="18" spans="1:6" x14ac:dyDescent="0.25">
      <c r="A18" s="10" t="s">
        <v>114</v>
      </c>
    </row>
    <row r="19" spans="1:6" x14ac:dyDescent="0.25">
      <c r="A19" s="10"/>
      <c r="B19" t="s">
        <v>112</v>
      </c>
    </row>
    <row r="20" spans="1:6" x14ac:dyDescent="0.25">
      <c r="B20" s="11" t="s">
        <v>35</v>
      </c>
      <c r="C20" s="11" t="s">
        <v>36</v>
      </c>
      <c r="D20" s="11" t="s">
        <v>37</v>
      </c>
      <c r="E20" s="11" t="s">
        <v>38</v>
      </c>
      <c r="F20" s="11" t="s">
        <v>39</v>
      </c>
    </row>
    <row r="21" spans="1:6" x14ac:dyDescent="0.25">
      <c r="A21" s="10" t="s">
        <v>103</v>
      </c>
      <c r="B21" s="22">
        <v>55</v>
      </c>
      <c r="C21" s="22">
        <v>55</v>
      </c>
      <c r="D21" s="22">
        <v>59</v>
      </c>
      <c r="E21" s="22">
        <v>65</v>
      </c>
      <c r="F21" s="22">
        <v>60.5</v>
      </c>
    </row>
    <row r="22" spans="1:6" x14ac:dyDescent="0.25">
      <c r="A22" s="10"/>
      <c r="B22" s="6"/>
      <c r="C22" s="6"/>
      <c r="D22" s="6"/>
      <c r="E22" s="6"/>
      <c r="F22" s="6"/>
    </row>
    <row r="23" spans="1:6" x14ac:dyDescent="0.25">
      <c r="A23" s="10" t="s">
        <v>31</v>
      </c>
      <c r="B23" s="6"/>
      <c r="C23" s="6"/>
      <c r="D23" s="6"/>
      <c r="E23" s="6"/>
      <c r="F23" s="6"/>
    </row>
    <row r="24" spans="1:6" x14ac:dyDescent="0.25">
      <c r="A24" s="10" t="s">
        <v>48</v>
      </c>
      <c r="B24" s="51">
        <v>154</v>
      </c>
      <c r="C24" s="51">
        <v>178.5</v>
      </c>
      <c r="D24" s="51">
        <v>163.5</v>
      </c>
      <c r="E24" s="51">
        <v>150</v>
      </c>
      <c r="F24" s="51">
        <v>180</v>
      </c>
    </row>
    <row r="25" spans="1:6" x14ac:dyDescent="0.25">
      <c r="A25" s="10" t="s">
        <v>104</v>
      </c>
      <c r="B25" s="24">
        <v>145.5</v>
      </c>
      <c r="C25" s="24">
        <v>157.5</v>
      </c>
      <c r="D25" s="24">
        <v>164.5</v>
      </c>
      <c r="E25" s="24">
        <v>165.5</v>
      </c>
      <c r="F25" s="24">
        <v>168</v>
      </c>
    </row>
    <row r="26" spans="1:6" x14ac:dyDescent="0.25">
      <c r="A26" s="10" t="s">
        <v>105</v>
      </c>
      <c r="B26" s="24">
        <v>132</v>
      </c>
      <c r="C26" s="24">
        <v>138.5</v>
      </c>
      <c r="D26" s="24">
        <v>152</v>
      </c>
      <c r="E26" s="24">
        <v>152</v>
      </c>
      <c r="F26" s="24">
        <v>156.5</v>
      </c>
    </row>
    <row r="27" spans="1:6" x14ac:dyDescent="0.25">
      <c r="A27" s="10" t="s">
        <v>49</v>
      </c>
      <c r="B27" s="24">
        <v>120.5</v>
      </c>
      <c r="C27" s="24">
        <v>124.5</v>
      </c>
      <c r="D27" s="24">
        <v>137</v>
      </c>
      <c r="E27" s="24">
        <v>138.5</v>
      </c>
      <c r="F27" s="24">
        <v>139</v>
      </c>
    </row>
    <row r="28" spans="1:6" x14ac:dyDescent="0.25">
      <c r="A28" s="10" t="s">
        <v>106</v>
      </c>
      <c r="B28" s="24">
        <v>120</v>
      </c>
      <c r="C28" s="24">
        <v>123.5</v>
      </c>
      <c r="D28" s="24">
        <v>132.5</v>
      </c>
      <c r="E28" s="24">
        <v>128.5</v>
      </c>
      <c r="F28" s="24">
        <v>128.5</v>
      </c>
    </row>
    <row r="29" spans="1:6" x14ac:dyDescent="0.25">
      <c r="A29" s="10" t="s">
        <v>107</v>
      </c>
      <c r="B29" s="51">
        <v>116</v>
      </c>
      <c r="C29" s="51">
        <v>126.5</v>
      </c>
      <c r="D29" s="51">
        <v>129.5</v>
      </c>
      <c r="E29" s="51">
        <v>123.5</v>
      </c>
      <c r="F29" s="51">
        <v>121</v>
      </c>
    </row>
    <row r="30" spans="1:6" x14ac:dyDescent="0.25">
      <c r="A30" t="s">
        <v>108</v>
      </c>
    </row>
    <row r="33" spans="1:3" x14ac:dyDescent="0.25">
      <c r="A33" t="s">
        <v>201</v>
      </c>
    </row>
    <row r="34" spans="1:3" x14ac:dyDescent="0.25">
      <c r="A34" s="2" t="s">
        <v>174</v>
      </c>
      <c r="B34" s="2" t="s">
        <v>47</v>
      </c>
      <c r="C34" s="2" t="s">
        <v>46</v>
      </c>
    </row>
    <row r="35" spans="1:3" x14ac:dyDescent="0.25">
      <c r="A35" s="2">
        <v>50</v>
      </c>
      <c r="B35" s="25">
        <f>15626.31/(50*90)</f>
        <v>3.4725133333333331</v>
      </c>
      <c r="C35" s="25">
        <f>15626.31/(50*120)</f>
        <v>2.6043849999999997</v>
      </c>
    </row>
    <row r="36" spans="1:3" x14ac:dyDescent="0.25">
      <c r="A36" s="2">
        <v>75</v>
      </c>
      <c r="B36" s="25">
        <f>15626.31/(75*90)</f>
        <v>2.3150088888888889</v>
      </c>
      <c r="C36" s="25">
        <f>15626.31/(75*120)</f>
        <v>1.7362566666666666</v>
      </c>
    </row>
    <row r="37" spans="1:3" x14ac:dyDescent="0.25">
      <c r="A37" s="2">
        <v>100</v>
      </c>
      <c r="B37" s="25">
        <f>15626.31/(100*90)</f>
        <v>1.7362566666666666</v>
      </c>
      <c r="C37" s="25">
        <f>15626.31/(100*120)</f>
        <v>1.3021924999999999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24"/>
  <sheetViews>
    <sheetView topLeftCell="A7" workbookViewId="0">
      <selection activeCell="I25" sqref="I25"/>
    </sheetView>
  </sheetViews>
  <sheetFormatPr defaultRowHeight="15" x14ac:dyDescent="0.25"/>
  <cols>
    <col min="2" max="2" width="12.42578125" customWidth="1"/>
    <col min="3" max="3" width="16.140625" customWidth="1"/>
    <col min="4" max="4" width="16.5703125" customWidth="1"/>
    <col min="5" max="5" width="11.7109375" customWidth="1"/>
    <col min="6" max="6" width="13.28515625" customWidth="1"/>
    <col min="7" max="7" width="13" customWidth="1"/>
    <col min="8" max="9" width="11.28515625" customWidth="1"/>
    <col min="11" max="11" width="11.28515625" customWidth="1"/>
    <col min="12" max="12" width="13" customWidth="1"/>
    <col min="13" max="13" width="13.28515625" customWidth="1"/>
  </cols>
  <sheetData>
    <row r="3" spans="1:14" x14ac:dyDescent="0.25">
      <c r="A3" s="2"/>
      <c r="B3" s="2"/>
      <c r="C3" s="11" t="s">
        <v>96</v>
      </c>
      <c r="D3" s="2"/>
      <c r="E3" s="2"/>
      <c r="F3" s="2"/>
      <c r="G3" s="11" t="s">
        <v>97</v>
      </c>
      <c r="H3" s="2"/>
      <c r="I3" s="2"/>
      <c r="J3" s="2"/>
      <c r="K3" s="11" t="s">
        <v>98</v>
      </c>
      <c r="L3" s="2"/>
      <c r="M3" s="2"/>
      <c r="N3" s="2"/>
    </row>
    <row r="4" spans="1:14" s="44" customFormat="1" ht="30" x14ac:dyDescent="0.25">
      <c r="A4" s="37" t="s">
        <v>95</v>
      </c>
      <c r="B4" s="37"/>
      <c r="C4" s="37" t="s">
        <v>101</v>
      </c>
      <c r="D4" s="37" t="s">
        <v>101</v>
      </c>
      <c r="E4" s="37" t="s">
        <v>99</v>
      </c>
      <c r="F4" s="37" t="s">
        <v>100</v>
      </c>
      <c r="G4" s="37" t="s">
        <v>101</v>
      </c>
      <c r="H4" s="37" t="s">
        <v>101</v>
      </c>
      <c r="I4" s="37" t="s">
        <v>99</v>
      </c>
      <c r="J4" s="37" t="s">
        <v>100</v>
      </c>
      <c r="K4" s="37" t="s">
        <v>101</v>
      </c>
      <c r="L4" s="37" t="s">
        <v>101</v>
      </c>
      <c r="M4" s="37" t="s">
        <v>99</v>
      </c>
      <c r="N4" s="37" t="s">
        <v>100</v>
      </c>
    </row>
    <row r="5" spans="1:14" x14ac:dyDescent="0.25">
      <c r="A5" s="11"/>
      <c r="B5" s="11" t="s">
        <v>79</v>
      </c>
      <c r="C5" s="11" t="s">
        <v>22</v>
      </c>
      <c r="D5" s="11" t="s">
        <v>28</v>
      </c>
      <c r="E5" s="11"/>
      <c r="F5" s="11"/>
      <c r="G5" s="11" t="s">
        <v>22</v>
      </c>
      <c r="H5" s="11" t="s">
        <v>28</v>
      </c>
      <c r="I5" s="11"/>
      <c r="J5" s="11"/>
      <c r="K5" s="11" t="s">
        <v>22</v>
      </c>
      <c r="L5" s="11" t="s">
        <v>28</v>
      </c>
      <c r="M5" s="11"/>
      <c r="N5" s="11"/>
    </row>
    <row r="6" spans="1:14" x14ac:dyDescent="0.25">
      <c r="A6" s="2">
        <v>400</v>
      </c>
      <c r="B6" s="2">
        <v>1.75</v>
      </c>
      <c r="C6" s="25"/>
      <c r="D6" s="25"/>
      <c r="E6" s="25">
        <f>C6-D6</f>
        <v>0</v>
      </c>
      <c r="F6" s="2" t="e">
        <f>(C6/D6)*100</f>
        <v>#DIV/0!</v>
      </c>
      <c r="G6" s="25"/>
      <c r="H6" s="25"/>
      <c r="I6" s="25">
        <f>G6-H6</f>
        <v>0</v>
      </c>
      <c r="J6" s="2" t="e">
        <f>(G6/H6)*100</f>
        <v>#DIV/0!</v>
      </c>
      <c r="K6" s="25"/>
      <c r="L6" s="25"/>
      <c r="M6" s="25">
        <f>K6-L6</f>
        <v>0</v>
      </c>
      <c r="N6" s="2" t="e">
        <f>(K6/L6)*100</f>
        <v>#DIV/0!</v>
      </c>
    </row>
    <row r="7" spans="1:14" x14ac:dyDescent="0.25">
      <c r="A7" s="2"/>
      <c r="B7" s="2">
        <v>2</v>
      </c>
      <c r="C7" s="25"/>
      <c r="D7" s="25"/>
      <c r="E7" s="25">
        <f t="shared" ref="E7:E8" si="0">C7-D7</f>
        <v>0</v>
      </c>
      <c r="F7" s="2" t="e">
        <f t="shared" ref="F7:F12" si="1">(C7/D7)*100</f>
        <v>#DIV/0!</v>
      </c>
      <c r="G7" s="25"/>
      <c r="H7" s="25"/>
      <c r="I7" s="25">
        <f>G7-H7</f>
        <v>0</v>
      </c>
      <c r="J7" s="2" t="e">
        <f t="shared" ref="J7:J12" si="2">(G7/H7)*100</f>
        <v>#DIV/0!</v>
      </c>
      <c r="K7" s="25"/>
      <c r="L7" s="25"/>
      <c r="M7" s="25">
        <f t="shared" ref="M7:M8" si="3">K7-L7</f>
        <v>0</v>
      </c>
      <c r="N7" s="2" t="e">
        <f t="shared" ref="N7:N12" si="4">(K7/L7)*100</f>
        <v>#DIV/0!</v>
      </c>
    </row>
    <row r="8" spans="1:14" x14ac:dyDescent="0.25">
      <c r="A8" s="2"/>
      <c r="B8" s="2">
        <v>2.5</v>
      </c>
      <c r="C8" s="25"/>
      <c r="D8" s="25"/>
      <c r="E8" s="25">
        <f t="shared" si="0"/>
        <v>0</v>
      </c>
      <c r="F8" s="2" t="e">
        <f t="shared" si="1"/>
        <v>#DIV/0!</v>
      </c>
      <c r="G8" s="25"/>
      <c r="H8" s="25"/>
      <c r="I8" s="25">
        <f>G8-H8</f>
        <v>0</v>
      </c>
      <c r="J8" s="2" t="e">
        <f t="shared" si="2"/>
        <v>#DIV/0!</v>
      </c>
      <c r="K8" s="25"/>
      <c r="L8" s="25"/>
      <c r="M8" s="25">
        <f t="shared" si="3"/>
        <v>0</v>
      </c>
      <c r="N8" s="2" t="e">
        <f t="shared" si="4"/>
        <v>#DIV/0!</v>
      </c>
    </row>
    <row r="9" spans="1:14" x14ac:dyDescent="0.25">
      <c r="F9" s="45"/>
      <c r="J9" s="45"/>
      <c r="N9" s="45"/>
    </row>
    <row r="10" spans="1:14" x14ac:dyDescent="0.25">
      <c r="A10" s="2">
        <v>500</v>
      </c>
      <c r="B10" s="2">
        <v>1.75</v>
      </c>
      <c r="C10" s="46"/>
      <c r="D10" s="46"/>
      <c r="E10" s="18">
        <f>C10-D10</f>
        <v>0</v>
      </c>
      <c r="F10" s="2" t="e">
        <f t="shared" si="1"/>
        <v>#DIV/0!</v>
      </c>
      <c r="G10" s="46"/>
      <c r="H10" s="46"/>
      <c r="I10" s="18">
        <f>G10-H10</f>
        <v>0</v>
      </c>
      <c r="J10" s="2" t="e">
        <f t="shared" si="2"/>
        <v>#DIV/0!</v>
      </c>
      <c r="K10" s="46"/>
      <c r="L10" s="46"/>
      <c r="M10" s="18">
        <f>K10-L10</f>
        <v>0</v>
      </c>
      <c r="N10" s="2" t="e">
        <f t="shared" si="4"/>
        <v>#DIV/0!</v>
      </c>
    </row>
    <row r="11" spans="1:14" x14ac:dyDescent="0.25">
      <c r="A11" s="2"/>
      <c r="B11" s="2">
        <v>2</v>
      </c>
      <c r="C11" s="46"/>
      <c r="D11" s="46"/>
      <c r="E11" s="18">
        <f t="shared" ref="E11:E12" si="5">C11-D11</f>
        <v>0</v>
      </c>
      <c r="F11" s="2" t="e">
        <f t="shared" si="1"/>
        <v>#DIV/0!</v>
      </c>
      <c r="G11" s="46"/>
      <c r="H11" s="46"/>
      <c r="I11" s="18">
        <f t="shared" ref="I11:I12" si="6">G11-H11</f>
        <v>0</v>
      </c>
      <c r="J11" s="2" t="e">
        <f t="shared" si="2"/>
        <v>#DIV/0!</v>
      </c>
      <c r="K11" s="46"/>
      <c r="L11" s="46"/>
      <c r="M11" s="18">
        <f t="shared" ref="M11:M12" si="7">K11-L11</f>
        <v>0</v>
      </c>
      <c r="N11" s="2" t="e">
        <f t="shared" si="4"/>
        <v>#DIV/0!</v>
      </c>
    </row>
    <row r="12" spans="1:14" x14ac:dyDescent="0.25">
      <c r="A12" s="2"/>
      <c r="B12" s="2">
        <v>2.5</v>
      </c>
      <c r="C12" s="25"/>
      <c r="D12" s="25"/>
      <c r="E12" s="18">
        <f t="shared" si="5"/>
        <v>0</v>
      </c>
      <c r="F12" s="2" t="e">
        <f t="shared" si="1"/>
        <v>#DIV/0!</v>
      </c>
      <c r="G12" s="25"/>
      <c r="H12" s="25"/>
      <c r="I12" s="18">
        <f t="shared" si="6"/>
        <v>0</v>
      </c>
      <c r="J12" s="2" t="e">
        <f t="shared" si="2"/>
        <v>#DIV/0!</v>
      </c>
      <c r="K12" s="25"/>
      <c r="L12" s="25"/>
      <c r="M12" s="18">
        <f t="shared" si="7"/>
        <v>0</v>
      </c>
      <c r="N12" s="2" t="e">
        <f t="shared" si="4"/>
        <v>#DIV/0!</v>
      </c>
    </row>
    <row r="17" spans="4:6" x14ac:dyDescent="0.25">
      <c r="D17" t="s">
        <v>187</v>
      </c>
    </row>
    <row r="18" spans="4:6" ht="30" x14ac:dyDescent="0.25">
      <c r="D18" s="2" t="s">
        <v>188</v>
      </c>
      <c r="E18" s="66" t="s">
        <v>189</v>
      </c>
      <c r="F18" s="2" t="s">
        <v>190</v>
      </c>
    </row>
    <row r="19" spans="4:6" x14ac:dyDescent="0.25">
      <c r="D19" s="2">
        <v>50</v>
      </c>
      <c r="E19" s="2">
        <v>90</v>
      </c>
      <c r="F19" s="25">
        <v>4837.5</v>
      </c>
    </row>
    <row r="20" spans="4:6" x14ac:dyDescent="0.25">
      <c r="D20" s="2"/>
      <c r="E20" s="2">
        <v>120</v>
      </c>
      <c r="F20" s="25">
        <v>6150</v>
      </c>
    </row>
    <row r="21" spans="4:6" x14ac:dyDescent="0.25">
      <c r="D21" s="2">
        <v>75</v>
      </c>
      <c r="E21" s="2">
        <v>90</v>
      </c>
      <c r="F21" s="25">
        <v>6806.25</v>
      </c>
    </row>
    <row r="22" spans="4:6" x14ac:dyDescent="0.25">
      <c r="D22" s="2"/>
      <c r="E22" s="2">
        <v>120</v>
      </c>
      <c r="F22" s="25">
        <v>8775</v>
      </c>
    </row>
    <row r="23" spans="4:6" x14ac:dyDescent="0.25">
      <c r="D23" s="2">
        <v>100</v>
      </c>
      <c r="E23" s="2">
        <v>90</v>
      </c>
      <c r="F23" s="25">
        <v>8775</v>
      </c>
    </row>
    <row r="24" spans="4:6" x14ac:dyDescent="0.25">
      <c r="D24" s="2"/>
      <c r="E24" s="2">
        <v>120</v>
      </c>
      <c r="F24" s="25">
        <v>11400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C24" sqref="C24:D24"/>
    </sheetView>
  </sheetViews>
  <sheetFormatPr defaultRowHeight="15" x14ac:dyDescent="0.25"/>
  <sheetData>
    <row r="1" spans="1:6" x14ac:dyDescent="0.25">
      <c r="A1">
        <v>102.97</v>
      </c>
      <c r="B1">
        <v>108.75</v>
      </c>
      <c r="C1">
        <v>107.47</v>
      </c>
      <c r="E1">
        <v>94.11</v>
      </c>
      <c r="F1">
        <v>96.97</v>
      </c>
    </row>
    <row r="2" spans="1:6" x14ac:dyDescent="0.25">
      <c r="A2">
        <v>103.36</v>
      </c>
      <c r="B2">
        <v>106.66</v>
      </c>
      <c r="C2">
        <v>112.33</v>
      </c>
      <c r="E2">
        <v>99.48</v>
      </c>
      <c r="F2">
        <v>102.56</v>
      </c>
    </row>
    <row r="3" spans="1:6" x14ac:dyDescent="0.25">
      <c r="A3">
        <v>107.86</v>
      </c>
      <c r="B3">
        <v>109.77</v>
      </c>
      <c r="C3">
        <v>112.57</v>
      </c>
      <c r="E3">
        <v>89.61</v>
      </c>
      <c r="F3">
        <v>92.76</v>
      </c>
    </row>
    <row r="4" spans="1:6" x14ac:dyDescent="0.25">
      <c r="A4">
        <v>97.12</v>
      </c>
      <c r="B4">
        <v>97.7</v>
      </c>
      <c r="C4">
        <v>90.57</v>
      </c>
      <c r="E4">
        <v>64.739999999999995</v>
      </c>
      <c r="F4">
        <v>65.790000000000006</v>
      </c>
    </row>
    <row r="5" spans="1:6" x14ac:dyDescent="0.25">
      <c r="A5">
        <v>60.81</v>
      </c>
      <c r="B5">
        <v>61.63</v>
      </c>
      <c r="C5">
        <v>60.56</v>
      </c>
      <c r="E5">
        <v>61.9</v>
      </c>
      <c r="F5">
        <v>64.61</v>
      </c>
    </row>
    <row r="6" spans="1:6" x14ac:dyDescent="0.25">
      <c r="A6">
        <v>76.44</v>
      </c>
      <c r="B6">
        <v>84.51</v>
      </c>
      <c r="C6">
        <v>89.74</v>
      </c>
      <c r="E6">
        <v>87.6</v>
      </c>
      <c r="F6">
        <v>97.34</v>
      </c>
    </row>
    <row r="7" spans="1:6" x14ac:dyDescent="0.25">
      <c r="A7">
        <v>102.41</v>
      </c>
      <c r="B7">
        <v>104.08</v>
      </c>
      <c r="C7">
        <v>104.15</v>
      </c>
      <c r="E7">
        <v>83.85</v>
      </c>
      <c r="F7">
        <v>89.34</v>
      </c>
    </row>
    <row r="8" spans="1:6" x14ac:dyDescent="0.25">
      <c r="A8">
        <v>94.89</v>
      </c>
      <c r="B8">
        <v>97.85</v>
      </c>
      <c r="C8">
        <v>98.39</v>
      </c>
      <c r="E8">
        <v>101.37</v>
      </c>
      <c r="F8">
        <v>109.81</v>
      </c>
    </row>
    <row r="9" spans="1:6" x14ac:dyDescent="0.25">
      <c r="A9">
        <v>114.65</v>
      </c>
      <c r="B9">
        <v>115.67</v>
      </c>
      <c r="C9">
        <v>122.94</v>
      </c>
      <c r="E9">
        <v>119.44</v>
      </c>
      <c r="F9">
        <v>117.3</v>
      </c>
    </row>
    <row r="10" spans="1:6" x14ac:dyDescent="0.25">
      <c r="A10">
        <v>118.26</v>
      </c>
      <c r="B10">
        <v>120.16</v>
      </c>
      <c r="C10">
        <v>123.51</v>
      </c>
      <c r="E10">
        <v>102.06</v>
      </c>
      <c r="F10">
        <v>110.86</v>
      </c>
    </row>
    <row r="11" spans="1:6" x14ac:dyDescent="0.25">
      <c r="A11">
        <v>113.75</v>
      </c>
      <c r="B11">
        <v>115.76</v>
      </c>
      <c r="C11">
        <v>111.47</v>
      </c>
      <c r="E11">
        <v>99.65</v>
      </c>
      <c r="F11">
        <v>100.46</v>
      </c>
    </row>
    <row r="12" spans="1:6" x14ac:dyDescent="0.25">
      <c r="A12">
        <v>102.28</v>
      </c>
      <c r="B12">
        <v>105.13</v>
      </c>
      <c r="C12">
        <v>102.76</v>
      </c>
      <c r="E12">
        <v>115.81</v>
      </c>
      <c r="F12">
        <v>116.21</v>
      </c>
    </row>
    <row r="13" spans="1:6" x14ac:dyDescent="0.25">
      <c r="A13">
        <v>120.1</v>
      </c>
      <c r="B13">
        <v>120.98</v>
      </c>
      <c r="C13">
        <v>126.18</v>
      </c>
      <c r="E13">
        <v>134.02000000000001</v>
      </c>
      <c r="F13">
        <v>129.38999999999999</v>
      </c>
    </row>
    <row r="14" spans="1:6" x14ac:dyDescent="0.25">
      <c r="A14">
        <v>135.4</v>
      </c>
      <c r="B14">
        <v>142.5</v>
      </c>
      <c r="C14">
        <v>149.08000000000001</v>
      </c>
      <c r="E14">
        <v>138.93</v>
      </c>
      <c r="F14">
        <v>139.86000000000001</v>
      </c>
    </row>
    <row r="15" spans="1:6" x14ac:dyDescent="0.25">
      <c r="A15">
        <v>152.56</v>
      </c>
      <c r="B15">
        <v>157.02000000000001</v>
      </c>
      <c r="C15">
        <v>146.24</v>
      </c>
      <c r="E15">
        <v>121.66</v>
      </c>
      <c r="F15">
        <v>124.42</v>
      </c>
    </row>
    <row r="16" spans="1:6" x14ac:dyDescent="0.25">
      <c r="A16">
        <v>119.46</v>
      </c>
      <c r="B16">
        <v>129.59</v>
      </c>
      <c r="C16">
        <v>131.22999999999999</v>
      </c>
      <c r="E16">
        <v>122.44</v>
      </c>
      <c r="F16">
        <v>123.26</v>
      </c>
    </row>
    <row r="17" spans="1:6" x14ac:dyDescent="0.25">
      <c r="A17">
        <v>117.4</v>
      </c>
      <c r="B17">
        <v>127.95</v>
      </c>
      <c r="C17">
        <v>124.8</v>
      </c>
      <c r="E17">
        <v>105.04</v>
      </c>
      <c r="F17">
        <v>97.85</v>
      </c>
    </row>
    <row r="18" spans="1:6" x14ac:dyDescent="0.25">
      <c r="A18">
        <v>108.92</v>
      </c>
      <c r="B18">
        <v>108.74</v>
      </c>
      <c r="C18">
        <v>110.37</v>
      </c>
      <c r="E18">
        <v>106.89</v>
      </c>
      <c r="F18">
        <v>109.7</v>
      </c>
    </row>
    <row r="19" spans="1:6" x14ac:dyDescent="0.25">
      <c r="A19">
        <v>115.44</v>
      </c>
      <c r="B19">
        <v>118.81</v>
      </c>
      <c r="C19">
        <v>125.77</v>
      </c>
      <c r="E19">
        <v>122.92</v>
      </c>
      <c r="F19">
        <v>133.06</v>
      </c>
    </row>
    <row r="20" spans="1:6" x14ac:dyDescent="0.25">
      <c r="A20" s="7">
        <v>143.54</v>
      </c>
      <c r="B20" s="7">
        <v>150.53</v>
      </c>
      <c r="C20" s="7">
        <v>165.91</v>
      </c>
      <c r="D20" s="7"/>
      <c r="E20" s="7">
        <v>149.85</v>
      </c>
      <c r="F20" s="7">
        <v>162.5</v>
      </c>
    </row>
    <row r="21" spans="1:6" x14ac:dyDescent="0.25">
      <c r="A21" s="10">
        <f>AVERAGE(A1:A20)</f>
        <v>110.381</v>
      </c>
      <c r="B21" s="10">
        <f t="shared" ref="B21:C21" si="0">AVERAGE(B1:B20)</f>
        <v>114.18950000000002</v>
      </c>
      <c r="C21" s="10">
        <f t="shared" si="0"/>
        <v>115.80199999999999</v>
      </c>
      <c r="D21" s="10"/>
      <c r="E21" s="10">
        <f t="shared" ref="E21" si="1">AVERAGE(E1:E20)</f>
        <v>106.06850000000001</v>
      </c>
      <c r="F21" s="10">
        <f t="shared" ref="F21" si="2">AVERAGE(F1:F20)</f>
        <v>109.20250000000001</v>
      </c>
    </row>
    <row r="23" spans="1:6" x14ac:dyDescent="0.25">
      <c r="A23" t="s">
        <v>37</v>
      </c>
      <c r="B23" t="s">
        <v>38</v>
      </c>
      <c r="C23" t="s">
        <v>39</v>
      </c>
      <c r="E23" t="s">
        <v>35</v>
      </c>
      <c r="F23" t="s">
        <v>36</v>
      </c>
    </row>
    <row r="24" spans="1:6" x14ac:dyDescent="0.25">
      <c r="C24" s="10" t="s">
        <v>102</v>
      </c>
      <c r="D24"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Analysis Worksheets and Calcs</vt:lpstr>
      <vt:lpstr>Scen 3 Breakeven Costs</vt:lpstr>
      <vt:lpstr>Increased Stock Rate Scen 3</vt:lpstr>
      <vt:lpstr>Sheet3</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Todd</dc:creator>
  <cp:lastModifiedBy>DKohl</cp:lastModifiedBy>
  <cp:lastPrinted>2017-07-21T15:00:45Z</cp:lastPrinted>
  <dcterms:created xsi:type="dcterms:W3CDTF">2017-01-18T17:13:02Z</dcterms:created>
  <dcterms:modified xsi:type="dcterms:W3CDTF">2017-08-09T13:46:39Z</dcterms:modified>
</cp:coreProperties>
</file>